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8915" windowHeight="12075" activeTab="1"/>
  </bookViews>
  <sheets>
    <sheet name="Dateneingabe" sheetId="1" r:id="rId1"/>
    <sheet name="Berechnung" sheetId="2" r:id="rId2"/>
    <sheet name="Korrektur" sheetId="3" r:id="rId3"/>
    <sheet name="Hilfe" sheetId="4" r:id="rId4"/>
    <sheet name="Angabentext" sheetId="5" r:id="rId5"/>
  </sheets>
  <definedNames>
    <definedName name="BDB">'Angabentext'!$C$75:$F$84</definedName>
    <definedName name="Bediengeld">'Dateneingabe'!$Y$81:$Y$84</definedName>
    <definedName name="Betrieb">'Angabentext'!$C$75:$C$84</definedName>
    <definedName name="_xlnm.Print_Area" localSheetId="4">'Angabentext'!$B$6:$C$68</definedName>
    <definedName name="_xlnm.Print_Area" localSheetId="3">'Hilfe'!$A$1:$AA$47</definedName>
    <definedName name="Einheiten">'Dateneingabe'!$Y$67:$Y$77</definedName>
    <definedName name="Faktor">'Dateneingabe'!$Y$67:$AA$77</definedName>
    <definedName name="Preise">'Dateneingabe'!$Y$67:$Z$77</definedName>
    <definedName name="USt">'Dateneingabe'!$Y$87:$Y$89</definedName>
  </definedNames>
  <calcPr fullCalcOnLoad="1"/>
</workbook>
</file>

<file path=xl/comments1.xml><?xml version="1.0" encoding="utf-8"?>
<comments xmlns="http://schemas.openxmlformats.org/spreadsheetml/2006/main">
  <authors>
    <author>Windows-Benutzer</author>
  </authors>
  <commentList>
    <comment ref="C16" authorId="0">
      <text>
        <r>
          <rPr>
            <b/>
            <sz val="9"/>
            <color indexed="17"/>
            <rFont val="Arial"/>
            <family val="2"/>
          </rPr>
          <t>Einheiten:</t>
        </r>
        <r>
          <rPr>
            <sz val="9"/>
            <color indexed="17"/>
            <rFont val="Arial"/>
            <family val="2"/>
          </rPr>
          <t xml:space="preserve">
Stk = Stück mit Kilopreis
St   = Stück mit Stückpreis
Weitere Informationen zu den Einheiten findest du in der </t>
        </r>
        <r>
          <rPr>
            <b/>
            <sz val="9"/>
            <color indexed="17"/>
            <rFont val="Arial"/>
            <family val="2"/>
          </rPr>
          <t>Abbildung auf der rechten Seite</t>
        </r>
        <r>
          <rPr>
            <sz val="9"/>
            <color indexed="17"/>
            <rFont val="Arial"/>
            <family val="2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Wolfgang Harasleben</author>
  </authors>
  <commentList>
    <comment ref="A1" authorId="0">
      <text>
        <r>
          <rPr>
            <b/>
            <sz val="8"/>
            <rFont val="Tahoma"/>
            <family val="2"/>
          </rPr>
          <t xml:space="preserve">Tipp: </t>
        </r>
        <r>
          <rPr>
            <sz val="8"/>
            <rFont val="Tahoma"/>
            <family val="2"/>
          </rPr>
          <t xml:space="preserve">Wenn du die Summenformel benötigst, solltest du folgendermaßen vorgehen:
</t>
        </r>
        <r>
          <rPr>
            <sz val="8"/>
            <rFont val="Arial"/>
            <family val="2"/>
          </rPr>
          <t xml:space="preserve">● </t>
        </r>
        <r>
          <rPr>
            <sz val="8"/>
            <rFont val="Tahoma"/>
            <family val="2"/>
          </rPr>
          <t xml:space="preserve">gib einfach </t>
        </r>
        <r>
          <rPr>
            <b/>
            <sz val="8"/>
            <color indexed="10"/>
            <rFont val="Tahoma"/>
            <family val="2"/>
          </rPr>
          <t>=summe(</t>
        </r>
        <r>
          <rPr>
            <sz val="8"/>
            <rFont val="Tahoma"/>
            <family val="2"/>
          </rPr>
          <t xml:space="preserve"> ein
● markiere dann die gewünschten Zellen, z.B. </t>
        </r>
        <r>
          <rPr>
            <b/>
            <sz val="8"/>
            <color indexed="10"/>
            <rFont val="Tahoma"/>
            <family val="2"/>
          </rPr>
          <t>A1:A9</t>
        </r>
        <r>
          <rPr>
            <sz val="8"/>
            <rFont val="Tahoma"/>
            <family val="2"/>
          </rPr>
          <t xml:space="preserve">
● und gib zuletzt noch </t>
        </r>
        <r>
          <rPr>
            <b/>
            <sz val="8"/>
            <color indexed="10"/>
            <rFont val="Tahoma"/>
            <family val="2"/>
          </rPr>
          <t>)</t>
        </r>
        <r>
          <rPr>
            <sz val="8"/>
            <rFont val="Tahoma"/>
            <family val="2"/>
          </rPr>
          <t xml:space="preserve"> ein.
So sieht dann die komplette Formel aus: </t>
        </r>
        <r>
          <rPr>
            <b/>
            <sz val="8"/>
            <color indexed="10"/>
            <rFont val="Tahoma"/>
            <family val="2"/>
          </rPr>
          <t>=summe(A1:A9)</t>
        </r>
        <r>
          <rPr>
            <sz val="8"/>
            <rFont val="Tahoma"/>
            <family val="2"/>
          </rPr>
          <t xml:space="preserve">
Schließe diesen Vorgang mit </t>
        </r>
        <r>
          <rPr>
            <b/>
            <sz val="8"/>
            <color indexed="10"/>
            <rFont val="Tahoma"/>
            <family val="2"/>
          </rPr>
          <t>Enter</t>
        </r>
        <r>
          <rPr>
            <sz val="8"/>
            <rFont val="Tahoma"/>
            <family val="2"/>
          </rPr>
          <t xml:space="preserve"> ab.</t>
        </r>
      </text>
    </comment>
  </commentList>
</comments>
</file>

<file path=xl/sharedStrings.xml><?xml version="1.0" encoding="utf-8"?>
<sst xmlns="http://schemas.openxmlformats.org/spreadsheetml/2006/main" count="321" uniqueCount="124">
  <si>
    <t>Dateneingabe</t>
  </si>
  <si>
    <t>Indizierung</t>
  </si>
  <si>
    <t>Prozentuelle Veränderung der Kosten</t>
  </si>
  <si>
    <t>Prozentuelle Veränderung der Preise</t>
  </si>
  <si>
    <t>Speise</t>
  </si>
  <si>
    <t>Datum</t>
  </si>
  <si>
    <t>Ust</t>
  </si>
  <si>
    <t>Anzahl der Portionen</t>
  </si>
  <si>
    <t>Bedienungsgeld</t>
  </si>
  <si>
    <t>Gericht</t>
  </si>
  <si>
    <t>Kartenpreis</t>
  </si>
  <si>
    <t>Zutaten</t>
  </si>
  <si>
    <t>Preise</t>
  </si>
  <si>
    <t>Stückgewichte</t>
  </si>
  <si>
    <t>Menge</t>
  </si>
  <si>
    <t>Einh</t>
  </si>
  <si>
    <t>Zutat</t>
  </si>
  <si>
    <t>Stückgewicht</t>
  </si>
  <si>
    <t>Einstandspreis</t>
  </si>
  <si>
    <t>g</t>
  </si>
  <si>
    <t>Preisänderungen beachten!!</t>
  </si>
  <si>
    <t>Stk</t>
  </si>
  <si>
    <t>l</t>
  </si>
  <si>
    <t/>
  </si>
  <si>
    <t>Bd</t>
  </si>
  <si>
    <t>Beilage</t>
  </si>
  <si>
    <t>© by Mag. Wolfgang Harasleben</t>
  </si>
  <si>
    <t>Einheiten</t>
  </si>
  <si>
    <t>Faktor</t>
  </si>
  <si>
    <t>kg</t>
  </si>
  <si>
    <t>dag</t>
  </si>
  <si>
    <t>ml</t>
  </si>
  <si>
    <t>cl</t>
  </si>
  <si>
    <t>P</t>
  </si>
  <si>
    <t>St</t>
  </si>
  <si>
    <t>Bediengeld</t>
  </si>
  <si>
    <t>USt</t>
  </si>
  <si>
    <t>-</t>
  </si>
  <si>
    <t>Gramm
Liter
Stück</t>
  </si>
  <si>
    <t>Portion(en)</t>
  </si>
  <si>
    <t>Einstands-
preis</t>
  </si>
  <si>
    <r>
      <t>€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gesamt</t>
    </r>
  </si>
  <si>
    <t>Notizen und Nebenrechnungen</t>
  </si>
  <si>
    <t>Zwischensumme</t>
  </si>
  <si>
    <t>Wareneinsatz</t>
  </si>
  <si>
    <r>
      <t>*)</t>
    </r>
    <r>
      <rPr>
        <sz val="8"/>
        <color indexed="12"/>
        <rFont val="Arial"/>
        <family val="2"/>
      </rPr>
      <t xml:space="preserve"> g = Gramm; l = Liter; Stk = Stück bei Kilopreis; St = Stück (bei Stückpreis); Bd = Bund; P = Portion</t>
    </r>
  </si>
  <si>
    <t>Deckungsbeitrag</t>
  </si>
  <si>
    <t>–</t>
  </si>
  <si>
    <t>=</t>
  </si>
  <si>
    <t>Grundpreis</t>
  </si>
  <si>
    <t xml:space="preserve">Indizierungsfaktoren:  </t>
  </si>
  <si>
    <t>Korrekturblatt zur Deckungsbeitragsrechnung</t>
  </si>
  <si>
    <t>x</t>
  </si>
  <si>
    <t>Beurteilung</t>
  </si>
  <si>
    <t>anzeigen</t>
  </si>
  <si>
    <t>unabhängige Ergebnisse</t>
  </si>
  <si>
    <t>abhängige Ergebnisse (werden als Folgefehler mit 0,5 Punkten bewertet)</t>
  </si>
  <si>
    <t>a.</t>
  </si>
  <si>
    <t>Ermittlung des Wareneinsatzes</t>
  </si>
  <si>
    <t>│</t>
  </si>
  <si>
    <t>b.</t>
  </si>
  <si>
    <t>Berechnung des Deckungsbeitrages</t>
  </si>
  <si>
    <t>Umsatzsteuer</t>
  </si>
  <si>
    <t>Gesamtpunktezahl</t>
  </si>
  <si>
    <t>Gesamtbeurteilung</t>
  </si>
  <si>
    <r>
      <t xml:space="preserve">Kalkulationsergebnis                              </t>
    </r>
    <r>
      <rPr>
        <sz val="10"/>
        <rFont val="Arial"/>
        <family val="2"/>
      </rPr>
      <t>Punkte:</t>
    </r>
  </si>
  <si>
    <t>Abstufung:</t>
  </si>
  <si>
    <t>Gesamtpunkte:</t>
  </si>
  <si>
    <t>Gesamtnote</t>
  </si>
  <si>
    <t>Hilfe - Formeln, Rechenansätze und Ergebnisse</t>
  </si>
  <si>
    <t>Notizen</t>
  </si>
  <si>
    <t>Gericht: Kosten je Zutat gesamt (in €)</t>
  </si>
  <si>
    <t xml:space="preserve">Gesamt   =   
</t>
  </si>
  <si>
    <t>Menge  x  Einstandspreis
ACHTUNG: Menge und Preis MÜSSEN auf gleiche Einheit gebracht werden!!!</t>
  </si>
  <si>
    <t>Beilage: Kosten je Zutat gesamt (in €)</t>
  </si>
  <si>
    <t>Beispiel:</t>
  </si>
  <si>
    <t>*) g = Gramm; l = Liter; St = Stück, Bd = Bund P = Portion</t>
  </si>
  <si>
    <t>Zwischen-
summe</t>
  </si>
  <si>
    <t>Waren-
einsatz</t>
  </si>
  <si>
    <t>Angabentext</t>
  </si>
  <si>
    <t>Hotelrestaurant</t>
  </si>
  <si>
    <t>Angaben</t>
  </si>
  <si>
    <t>Gericht:</t>
  </si>
  <si>
    <t>Zutaten:</t>
  </si>
  <si>
    <t>Preise:</t>
  </si>
  <si>
    <t>Beilage:</t>
  </si>
  <si>
    <t>Aufgaben</t>
  </si>
  <si>
    <t>◙ </t>
  </si>
  <si>
    <t>Trage die Zutaten, die Mengen und die Preise in die Rezepturkarte ein!</t>
  </si>
  <si>
    <t>Wareneinsatzermittlung</t>
  </si>
  <si>
    <t>© Mag. Wolfgang Harasleben</t>
  </si>
  <si>
    <t>BDB</t>
  </si>
  <si>
    <t>Portionen</t>
  </si>
  <si>
    <t>Betrieb</t>
  </si>
  <si>
    <t>Berggasthof</t>
  </si>
  <si>
    <t>ein</t>
  </si>
  <si>
    <t>der</t>
  </si>
  <si>
    <t>einem</t>
  </si>
  <si>
    <t>Dorfgasthof</t>
  </si>
  <si>
    <t>Gasthaus</t>
  </si>
  <si>
    <t>das</t>
  </si>
  <si>
    <t>Gasthof</t>
  </si>
  <si>
    <t>Haubenrestaurant</t>
  </si>
  <si>
    <t>Pizzaria</t>
  </si>
  <si>
    <t>eine</t>
  </si>
  <si>
    <t>die</t>
  </si>
  <si>
    <t>einer</t>
  </si>
  <si>
    <t>Restaurant</t>
  </si>
  <si>
    <t>Sternerestaurant</t>
  </si>
  <si>
    <t>Wirtshaus</t>
  </si>
  <si>
    <t>Version 2014.01.20.071</t>
  </si>
  <si>
    <t>Übersicht über die Ergebnisse</t>
  </si>
  <si>
    <t>Karotten</t>
  </si>
  <si>
    <t>Salade russe</t>
  </si>
  <si>
    <t>Sellerie</t>
  </si>
  <si>
    <t>grüne Bohnen</t>
  </si>
  <si>
    <t>Kartoffel, gekocht</t>
  </si>
  <si>
    <t>Erbsen, gekocht</t>
  </si>
  <si>
    <t>Essiggurken</t>
  </si>
  <si>
    <t>Äpfel</t>
  </si>
  <si>
    <t>Majonäse</t>
  </si>
  <si>
    <t>Jogurt</t>
  </si>
  <si>
    <t>Gewürze (Salz, Pfeffer, Senf)</t>
  </si>
  <si>
    <r>
      <t xml:space="preserve">€ </t>
    </r>
    <r>
      <rPr>
        <vertAlign val="subscript"/>
        <sz val="12"/>
        <rFont val="Arial"/>
        <family val="2"/>
      </rPr>
      <t>gesamt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</si>
</sst>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#\ %"/>
    <numFmt numFmtId="165" formatCode="dd/\ mm/\ yyyy"/>
    <numFmt numFmtId="166" formatCode="#,##0.0#\ %"/>
    <numFmt numFmtId="167" formatCode="&quot;/&quot;\ General"/>
    <numFmt numFmtId="168" formatCode="#,##0.00\ &quot;€&quot;"/>
    <numFmt numFmtId="169" formatCode="000"/>
    <numFmt numFmtId="170" formatCode="#,###\ ###/###"/>
    <numFmt numFmtId="171" formatCode="#,##0\ &quot;g/St&quot;"/>
    <numFmt numFmtId="172" formatCode="0\ %\ &quot;Lieferantenrabatt&quot;"/>
    <numFmt numFmtId="173" formatCode="0\ %\ &quot;Umsatzsteuer&quot;"/>
    <numFmt numFmtId="174" formatCode="0\ %\ &quot;Lieferantenskonto&quot;"/>
    <numFmt numFmtId="175" formatCode="0.0?\ %\ &quot;Bedienungsgeld&quot;"/>
    <numFmt numFmtId="176" formatCode="0.0?\ %\ &quot;Lieferantenskonto&quot;"/>
    <numFmt numFmtId="177" formatCode="General&quot; /&quot;"/>
    <numFmt numFmtId="178" formatCode="#,##0\ &quot;/&quot;"/>
    <numFmt numFmtId="179" formatCode="0\ &quot;bis&quot;"/>
    <numFmt numFmtId="180" formatCode="&quot;oder&quot;\ 0\ &quot;Punkte&quot;"/>
    <numFmt numFmtId="181" formatCode="0\ %"/>
    <numFmt numFmtId="182" formatCode="#,##0.00#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9"/>
      <name val="Arial Black"/>
      <family val="2"/>
    </font>
    <font>
      <sz val="8"/>
      <color indexed="9"/>
      <name val="Arial Black"/>
      <family val="2"/>
    </font>
    <font>
      <sz val="8"/>
      <color indexed="9"/>
      <name val="Times New Roman"/>
      <family val="1"/>
    </font>
    <font>
      <sz val="8"/>
      <name val="Arial"/>
      <family val="2"/>
    </font>
    <font>
      <sz val="10"/>
      <name val="Arial Black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 Black"/>
      <family val="2"/>
    </font>
    <font>
      <sz val="12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20"/>
      <color indexed="9"/>
      <name val="Arial Black"/>
      <family val="2"/>
    </font>
    <font>
      <sz val="8"/>
      <color indexed="12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4"/>
      <color indexed="9"/>
      <name val="Arial Black"/>
      <family val="2"/>
    </font>
    <font>
      <sz val="12"/>
      <color indexed="9"/>
      <name val="Arial Black"/>
      <family val="2"/>
    </font>
    <font>
      <sz val="16"/>
      <name val="Arial Black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0"/>
      <color indexed="9"/>
      <name val="Arial Black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8"/>
      <color indexed="12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8"/>
      <name val="Arial Black"/>
      <family val="2"/>
    </font>
    <font>
      <i/>
      <u val="single"/>
      <sz val="8"/>
      <name val="Arial"/>
      <family val="2"/>
    </font>
    <font>
      <sz val="10"/>
      <color indexed="12"/>
      <name val="Arial"/>
      <family val="2"/>
    </font>
    <font>
      <sz val="18"/>
      <name val="Wingdings 2"/>
      <family val="1"/>
    </font>
    <font>
      <b/>
      <sz val="18"/>
      <color indexed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2"/>
      <name val="Arial Black"/>
      <family val="2"/>
    </font>
    <font>
      <b/>
      <i/>
      <sz val="20"/>
      <color indexed="10"/>
      <name val="Arial"/>
      <family val="2"/>
    </font>
    <font>
      <sz val="12"/>
      <color indexed="42"/>
      <name val="Arial Black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b/>
      <sz val="14"/>
      <name val="Arial Black"/>
      <family val="2"/>
    </font>
    <font>
      <b/>
      <sz val="8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i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6"/>
      <color indexed="17"/>
      <name val="Arial"/>
      <family val="2"/>
    </font>
    <font>
      <sz val="8"/>
      <color indexed="11"/>
      <name val="Arial Black"/>
      <family val="2"/>
    </font>
    <font>
      <sz val="8"/>
      <color indexed="11"/>
      <name val="Arial"/>
      <family val="2"/>
    </font>
    <font>
      <sz val="10"/>
      <color indexed="59"/>
      <name val="Arial"/>
      <family val="2"/>
    </font>
    <font>
      <sz val="8"/>
      <color indexed="17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vertAlign val="subscript"/>
      <sz val="12"/>
      <name val="Arial"/>
      <family val="2"/>
    </font>
    <font>
      <b/>
      <sz val="8"/>
      <color indexed="9"/>
      <name val="Arial Black"/>
      <family val="2"/>
    </font>
    <font>
      <b/>
      <sz val="8"/>
      <color indexed="9"/>
      <name val="Wingdings 3"/>
      <family val="1"/>
    </font>
    <font>
      <b/>
      <sz val="10"/>
      <color indexed="9"/>
      <name val="Wingdings 3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  <font>
      <b/>
      <sz val="6"/>
      <color rgb="FF008000"/>
      <name val="Arial"/>
      <family val="2"/>
    </font>
    <font>
      <sz val="8"/>
      <color rgb="FFD5EBAD"/>
      <name val="Arial Black"/>
      <family val="2"/>
    </font>
    <font>
      <sz val="8"/>
      <color rgb="FFD5EBAD"/>
      <name val="Arial"/>
      <family val="2"/>
    </font>
    <font>
      <sz val="10"/>
      <color rgb="FFC0C0C0"/>
      <name val="Arial"/>
      <family val="2"/>
    </font>
    <font>
      <sz val="8"/>
      <color rgb="FF00800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5EBAD"/>
        <bgColor indexed="64"/>
      </patternFill>
    </fill>
    <fill>
      <patternFill patternType="solid">
        <fgColor rgb="FFC0C0C0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8000"/>
      </left>
      <right>
        <color indexed="63"/>
      </right>
      <top style="thick">
        <color rgb="FF008000"/>
      </top>
      <bottom style="thick">
        <color rgb="FF008000"/>
      </bottom>
    </border>
    <border>
      <left>
        <color indexed="63"/>
      </left>
      <right>
        <color indexed="63"/>
      </right>
      <top style="thick">
        <color rgb="FF008000"/>
      </top>
      <bottom style="thick">
        <color rgb="FF008000"/>
      </bottom>
    </border>
    <border>
      <left style="thin">
        <color indexed="60"/>
      </left>
      <right style="thin">
        <color indexed="22"/>
      </right>
      <top style="thin">
        <color indexed="60"/>
      </top>
      <bottom style="thin">
        <color indexed="22"/>
      </bottom>
    </border>
    <border>
      <left style="thin">
        <color indexed="54"/>
      </left>
      <right style="thin">
        <color indexed="22"/>
      </right>
      <top style="thin">
        <color indexed="54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60"/>
      </top>
      <bottom style="thin">
        <color indexed="22"/>
      </bottom>
    </border>
    <border>
      <left style="hair">
        <color rgb="FF008000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>
        <color indexed="63"/>
      </right>
      <top style="hair">
        <color rgb="FF008000"/>
      </top>
      <bottom>
        <color indexed="63"/>
      </bottom>
    </border>
    <border>
      <left>
        <color indexed="63"/>
      </left>
      <right style="hair">
        <color rgb="FF008000"/>
      </right>
      <top style="hair">
        <color rgb="FF008000"/>
      </top>
      <bottom>
        <color indexed="63"/>
      </bottom>
    </border>
    <border>
      <left style="hair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800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22"/>
      </bottom>
    </border>
    <border>
      <left style="hair">
        <color rgb="FF008000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>
        <color indexed="63"/>
      </right>
      <top>
        <color indexed="63"/>
      </top>
      <bottom style="hair">
        <color rgb="FF008000"/>
      </bottom>
    </border>
    <border>
      <left>
        <color indexed="63"/>
      </left>
      <right style="hair">
        <color rgb="FF008000"/>
      </right>
      <top>
        <color indexed="63"/>
      </top>
      <bottom style="hair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theme="0" tint="-0.04997999966144562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04997999966144562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0" tint="-0.04997999966144562"/>
      </top>
      <bottom>
        <color indexed="63"/>
      </bottom>
    </border>
    <border>
      <left style="thin">
        <color theme="0" tint="-0.049979999661445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>
        <color theme="0" tint="-0.04997999966144562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0" tint="-0.049979999661445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ck">
        <color rgb="FF008000"/>
      </right>
      <top style="thick">
        <color rgb="FF008000"/>
      </top>
      <bottom style="thick">
        <color rgb="FF008000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 diagonalUp="1">
      <left style="thin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medium"/>
      <right>
        <color indexed="63"/>
      </right>
      <top style="hair"/>
      <bottom style="thin"/>
      <diagonal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68" fontId="11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6" borderId="2" applyNumberFormat="0" applyAlignment="0" applyProtection="0"/>
    <xf numFmtId="168" fontId="11" fillId="0" borderId="0">
      <alignment/>
      <protection/>
    </xf>
    <xf numFmtId="0" fontId="6" fillId="27" borderId="0">
      <alignment/>
      <protection/>
    </xf>
    <xf numFmtId="41" fontId="0" fillId="0" borderId="0" applyFont="0" applyFill="0" applyBorder="0" applyAlignment="0" applyProtection="0"/>
    <xf numFmtId="0" fontId="84" fillId="28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30" fillId="29" borderId="0">
      <alignment/>
      <protection/>
    </xf>
    <xf numFmtId="172" fontId="11" fillId="0" borderId="0">
      <alignment horizontal="left"/>
      <protection/>
    </xf>
    <xf numFmtId="174" fontId="11" fillId="0" borderId="0">
      <alignment horizontal="left"/>
      <protection/>
    </xf>
    <xf numFmtId="0" fontId="11" fillId="0" borderId="0">
      <alignment/>
      <protection/>
    </xf>
    <xf numFmtId="0" fontId="87" fillId="30" borderId="0" applyNumberFormat="0" applyBorder="0" applyAlignment="0" applyProtection="0"/>
    <xf numFmtId="43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9" fillId="33" borderId="0" applyNumberFormat="0" applyBorder="0" applyAlignment="0" applyProtection="0"/>
    <xf numFmtId="0" fontId="22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4" borderId="9" applyNumberFormat="0" applyAlignment="0" applyProtection="0"/>
  </cellStyleXfs>
  <cellXfs count="413">
    <xf numFmtId="0" fontId="0" fillId="0" borderId="0" xfId="0" applyFont="1" applyAlignment="1">
      <alignment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 applyProtection="1">
      <alignment horizontal="left" vertical="center"/>
      <protection hidden="1"/>
    </xf>
    <xf numFmtId="0" fontId="4" fillId="35" borderId="11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5" fillId="36" borderId="0" xfId="0" applyFont="1" applyFill="1" applyAlignment="1" applyProtection="1">
      <alignment vertical="center"/>
      <protection hidden="1"/>
    </xf>
    <xf numFmtId="0" fontId="6" fillId="36" borderId="0" xfId="0" applyFont="1" applyFill="1" applyAlignment="1" applyProtection="1">
      <alignment vertical="center"/>
      <protection hidden="1"/>
    </xf>
    <xf numFmtId="0" fontId="7" fillId="36" borderId="0" xfId="0" applyFont="1" applyFill="1" applyAlignment="1" applyProtection="1">
      <alignment vertical="center"/>
      <protection hidden="1"/>
    </xf>
    <xf numFmtId="0" fontId="8" fillId="36" borderId="0" xfId="0" applyFont="1" applyFill="1" applyAlignment="1" applyProtection="1">
      <alignment horizontal="left" vertical="center"/>
      <protection hidden="1"/>
    </xf>
    <xf numFmtId="0" fontId="8" fillId="36" borderId="0" xfId="0" applyFont="1" applyFill="1" applyAlignment="1" applyProtection="1">
      <alignment vertical="center"/>
      <protection hidden="1"/>
    </xf>
    <xf numFmtId="0" fontId="5" fillId="36" borderId="0" xfId="0" applyFont="1" applyFill="1" applyAlignment="1" applyProtection="1">
      <alignment horizontal="left" vertical="center"/>
      <protection hidden="1"/>
    </xf>
    <xf numFmtId="164" fontId="9" fillId="37" borderId="12" xfId="0" applyNumberFormat="1" applyFont="1" applyFill="1" applyBorder="1" applyAlignment="1" applyProtection="1">
      <alignment vertical="center"/>
      <protection locked="0"/>
    </xf>
    <xf numFmtId="164" fontId="9" fillId="37" borderId="13" xfId="0" applyNumberFormat="1" applyFont="1" applyFill="1" applyBorder="1" applyAlignment="1" applyProtection="1">
      <alignment vertical="center"/>
      <protection locked="0"/>
    </xf>
    <xf numFmtId="0" fontId="10" fillId="36" borderId="0" xfId="0" applyFont="1" applyFill="1" applyAlignment="1" applyProtection="1">
      <alignment vertical="center"/>
      <protection hidden="1"/>
    </xf>
    <xf numFmtId="0" fontId="11" fillId="36" borderId="0" xfId="0" applyFont="1" applyFill="1" applyAlignment="1" applyProtection="1">
      <alignment vertical="center"/>
      <protection hidden="1"/>
    </xf>
    <xf numFmtId="165" fontId="12" fillId="38" borderId="12" xfId="0" applyNumberFormat="1" applyFont="1" applyFill="1" applyBorder="1" applyAlignment="1" applyProtection="1">
      <alignment horizontal="right" vertical="center"/>
      <protection locked="0"/>
    </xf>
    <xf numFmtId="166" fontId="5" fillId="39" borderId="12" xfId="0" applyNumberFormat="1" applyFont="1" applyFill="1" applyBorder="1" applyAlignment="1" applyProtection="1">
      <alignment vertical="center"/>
      <protection locked="0"/>
    </xf>
    <xf numFmtId="3" fontId="9" fillId="37" borderId="12" xfId="0" applyNumberFormat="1" applyFont="1" applyFill="1" applyBorder="1" applyAlignment="1" applyProtection="1">
      <alignment vertical="center"/>
      <protection locked="0"/>
    </xf>
    <xf numFmtId="0" fontId="13" fillId="36" borderId="0" xfId="0" applyFont="1" applyFill="1" applyAlignment="1" applyProtection="1">
      <alignment vertical="center"/>
      <protection hidden="1"/>
    </xf>
    <xf numFmtId="167" fontId="5" fillId="40" borderId="14" xfId="0" applyNumberFormat="1" applyFont="1" applyFill="1" applyBorder="1" applyAlignment="1" applyProtection="1">
      <alignment vertical="center"/>
      <protection locked="0"/>
    </xf>
    <xf numFmtId="4" fontId="9" fillId="37" borderId="12" xfId="0" applyNumberFormat="1" applyFont="1" applyFill="1" applyBorder="1" applyAlignment="1" applyProtection="1">
      <alignment vertical="center"/>
      <protection locked="0"/>
    </xf>
    <xf numFmtId="0" fontId="97" fillId="41" borderId="15" xfId="0" applyFont="1" applyFill="1" applyBorder="1" applyAlignment="1" applyProtection="1">
      <alignment vertical="center"/>
      <protection hidden="1"/>
    </xf>
    <xf numFmtId="0" fontId="97" fillId="41" borderId="16" xfId="0" applyFont="1" applyFill="1" applyBorder="1" applyAlignment="1" applyProtection="1">
      <alignment vertical="center"/>
      <protection hidden="1"/>
    </xf>
    <xf numFmtId="0" fontId="97" fillId="41" borderId="17" xfId="0" applyFont="1" applyFill="1" applyBorder="1" applyAlignment="1" applyProtection="1">
      <alignment vertical="center"/>
      <protection hidden="1"/>
    </xf>
    <xf numFmtId="0" fontId="14" fillId="36" borderId="0" xfId="0" applyFont="1" applyFill="1" applyAlignment="1" applyProtection="1">
      <alignment vertical="center"/>
      <protection hidden="1"/>
    </xf>
    <xf numFmtId="0" fontId="14" fillId="36" borderId="0" xfId="0" applyFont="1" applyFill="1" applyAlignment="1" applyProtection="1">
      <alignment horizontal="center" vertical="center"/>
      <protection hidden="1"/>
    </xf>
    <xf numFmtId="0" fontId="5" fillId="4" borderId="18" xfId="0" applyFont="1" applyFill="1" applyBorder="1" applyAlignment="1" applyProtection="1">
      <alignment/>
      <protection hidden="1"/>
    </xf>
    <xf numFmtId="0" fontId="5" fillId="4" borderId="0" xfId="0" applyFont="1" applyFill="1" applyBorder="1" applyAlignment="1" applyProtection="1">
      <alignment/>
      <protection hidden="1"/>
    </xf>
    <xf numFmtId="0" fontId="5" fillId="4" borderId="19" xfId="0" applyFont="1" applyFill="1" applyBorder="1" applyAlignment="1" applyProtection="1">
      <alignment/>
      <protection hidden="1"/>
    </xf>
    <xf numFmtId="4" fontId="9" fillId="37" borderId="20" xfId="0" applyNumberFormat="1" applyFont="1" applyFill="1" applyBorder="1" applyAlignment="1" applyProtection="1">
      <alignment vertical="center"/>
      <protection locked="0"/>
    </xf>
    <xf numFmtId="4" fontId="9" fillId="37" borderId="14" xfId="0" applyNumberFormat="1" applyFont="1" applyFill="1" applyBorder="1" applyAlignment="1" applyProtection="1">
      <alignment vertical="center"/>
      <protection locked="0"/>
    </xf>
    <xf numFmtId="4" fontId="9" fillId="40" borderId="14" xfId="0" applyNumberFormat="1" applyFont="1" applyFill="1" applyBorder="1" applyAlignment="1" applyProtection="1">
      <alignment vertical="center"/>
      <protection hidden="1"/>
    </xf>
    <xf numFmtId="168" fontId="9" fillId="37" borderId="20" xfId="0" applyNumberFormat="1" applyFont="1" applyFill="1" applyBorder="1" applyAlignment="1" applyProtection="1">
      <alignment vertical="center"/>
      <protection locked="0"/>
    </xf>
    <xf numFmtId="4" fontId="5" fillId="40" borderId="21" xfId="0" applyNumberFormat="1" applyFont="1" applyFill="1" applyBorder="1" applyAlignment="1" applyProtection="1">
      <alignment horizontal="center" vertical="center"/>
      <protection hidden="1"/>
    </xf>
    <xf numFmtId="167" fontId="5" fillId="40" borderId="14" xfId="0" applyNumberFormat="1" applyFont="1" applyFill="1" applyBorder="1" applyAlignment="1" applyProtection="1">
      <alignment vertical="center"/>
      <protection hidden="1"/>
    </xf>
    <xf numFmtId="168" fontId="5" fillId="36" borderId="0" xfId="0" applyNumberFormat="1" applyFont="1" applyFill="1" applyAlignment="1" applyProtection="1">
      <alignment vertical="center"/>
      <protection hidden="1"/>
    </xf>
    <xf numFmtId="168" fontId="14" fillId="36" borderId="0" xfId="0" applyNumberFormat="1" applyFont="1" applyFill="1" applyAlignment="1" applyProtection="1">
      <alignment vertical="center"/>
      <protection hidden="1"/>
    </xf>
    <xf numFmtId="0" fontId="5" fillId="4" borderId="22" xfId="0" applyFont="1" applyFill="1" applyBorder="1" applyAlignment="1" applyProtection="1">
      <alignment/>
      <protection hidden="1"/>
    </xf>
    <xf numFmtId="0" fontId="5" fillId="4" borderId="23" xfId="0" applyFont="1" applyFill="1" applyBorder="1" applyAlignment="1" applyProtection="1">
      <alignment/>
      <protection hidden="1"/>
    </xf>
    <xf numFmtId="0" fontId="5" fillId="4" borderId="24" xfId="0" applyFont="1" applyFill="1" applyBorder="1" applyAlignment="1" applyProtection="1">
      <alignment/>
      <protection hidden="1"/>
    </xf>
    <xf numFmtId="0" fontId="16" fillId="0" borderId="0" xfId="0" applyFont="1" applyAlignment="1" applyProtection="1">
      <alignment vertical="center"/>
      <protection hidden="1"/>
    </xf>
    <xf numFmtId="0" fontId="98" fillId="0" borderId="0" xfId="0" applyFont="1" applyAlignment="1" applyProtection="1">
      <alignment horizontal="right" vertical="center"/>
      <protection hidden="1"/>
    </xf>
    <xf numFmtId="0" fontId="9" fillId="0" borderId="25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vertical="top" wrapText="1"/>
      <protection hidden="1"/>
    </xf>
    <xf numFmtId="166" fontId="5" fillId="0" borderId="0" xfId="0" applyNumberFormat="1" applyFont="1" applyAlignment="1" applyProtection="1">
      <alignment horizontal="center"/>
      <protection hidden="1"/>
    </xf>
    <xf numFmtId="0" fontId="19" fillId="42" borderId="0" xfId="0" applyFont="1" applyFill="1" applyAlignment="1" applyProtection="1">
      <alignment horizontal="centerContinuous" vertical="center" wrapText="1"/>
      <protection hidden="1"/>
    </xf>
    <xf numFmtId="169" fontId="20" fillId="42" borderId="0" xfId="0" applyNumberFormat="1" applyFont="1" applyFill="1" applyAlignment="1" applyProtection="1">
      <alignment vertical="center"/>
      <protection hidden="1"/>
    </xf>
    <xf numFmtId="169" fontId="21" fillId="0" borderId="0" xfId="0" applyNumberFormat="1" applyFont="1" applyAlignment="1" applyProtection="1">
      <alignment horizontal="center" vertical="center"/>
      <protection hidden="1"/>
    </xf>
    <xf numFmtId="0" fontId="19" fillId="42" borderId="0" xfId="0" applyFont="1" applyFill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7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29" xfId="0" applyFont="1" applyBorder="1" applyAlignment="1" applyProtection="1">
      <alignment horizontal="centerContinuous" vertical="center" wrapText="1"/>
      <protection hidden="1"/>
    </xf>
    <xf numFmtId="0" fontId="5" fillId="0" borderId="30" xfId="0" applyFont="1" applyBorder="1" applyAlignment="1" applyProtection="1">
      <alignment horizontal="centerContinuous" vertical="center" wrapText="1"/>
      <protection hidden="1"/>
    </xf>
    <xf numFmtId="0" fontId="24" fillId="37" borderId="31" xfId="0" applyFont="1" applyFill="1" applyBorder="1" applyAlignment="1" applyProtection="1">
      <alignment horizontal="center" vertical="center"/>
      <protection hidden="1"/>
    </xf>
    <xf numFmtId="0" fontId="5" fillId="0" borderId="31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26" fillId="43" borderId="3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vertical="center"/>
      <protection hidden="1"/>
    </xf>
    <xf numFmtId="0" fontId="13" fillId="0" borderId="33" xfId="0" applyFont="1" applyBorder="1" applyAlignment="1" applyProtection="1">
      <alignment horizontal="left" vertical="center" wrapText="1"/>
      <protection hidden="1"/>
    </xf>
    <xf numFmtId="0" fontId="5" fillId="0" borderId="34" xfId="0" applyFont="1" applyBorder="1" applyAlignment="1" applyProtection="1">
      <alignment vertical="center"/>
      <protection hidden="1"/>
    </xf>
    <xf numFmtId="0" fontId="27" fillId="0" borderId="34" xfId="0" applyFont="1" applyBorder="1" applyAlignment="1" applyProtection="1">
      <alignment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0" fontId="5" fillId="0" borderId="27" xfId="0" applyFont="1" applyBorder="1" applyAlignment="1" applyProtection="1">
      <alignment vertical="center"/>
      <protection hidden="1"/>
    </xf>
    <xf numFmtId="0" fontId="16" fillId="0" borderId="35" xfId="0" applyFont="1" applyBorder="1" applyAlignment="1" applyProtection="1">
      <alignment horizontal="right" vertical="center"/>
      <protection hidden="1"/>
    </xf>
    <xf numFmtId="0" fontId="11" fillId="0" borderId="36" xfId="0" applyFont="1" applyBorder="1" applyAlignment="1" applyProtection="1">
      <alignment vertical="center"/>
      <protection locked="0"/>
    </xf>
    <xf numFmtId="170" fontId="23" fillId="37" borderId="37" xfId="0" applyNumberFormat="1" applyFont="1" applyFill="1" applyBorder="1" applyAlignment="1" applyProtection="1">
      <alignment horizontal="right" vertical="center"/>
      <protection hidden="1"/>
    </xf>
    <xf numFmtId="0" fontId="23" fillId="37" borderId="38" xfId="0" applyFont="1" applyFill="1" applyBorder="1" applyAlignment="1" applyProtection="1">
      <alignment horizontal="left" vertical="center"/>
      <protection hidden="1"/>
    </xf>
    <xf numFmtId="0" fontId="23" fillId="37" borderId="39" xfId="0" applyFont="1" applyFill="1" applyBorder="1" applyAlignment="1" applyProtection="1">
      <alignment vertical="center"/>
      <protection hidden="1"/>
    </xf>
    <xf numFmtId="171" fontId="23" fillId="37" borderId="40" xfId="0" applyNumberFormat="1" applyFont="1" applyFill="1" applyBorder="1" applyAlignment="1" applyProtection="1">
      <alignment vertical="center"/>
      <protection hidden="1"/>
    </xf>
    <xf numFmtId="168" fontId="5" fillId="0" borderId="41" xfId="0" applyNumberFormat="1" applyFont="1" applyBorder="1" applyAlignment="1" applyProtection="1">
      <alignment vertical="center"/>
      <protection hidden="1"/>
    </xf>
    <xf numFmtId="0" fontId="5" fillId="0" borderId="42" xfId="0" applyNumberFormat="1" applyFont="1" applyBorder="1" applyAlignment="1" applyProtection="1" quotePrefix="1">
      <alignment vertical="center"/>
      <protection hidden="1"/>
    </xf>
    <xf numFmtId="4" fontId="22" fillId="0" borderId="43" xfId="0" applyNumberFormat="1" applyFont="1" applyBorder="1" applyAlignment="1" applyProtection="1">
      <alignment vertical="center"/>
      <protection hidden="1"/>
    </xf>
    <xf numFmtId="0" fontId="5" fillId="0" borderId="44" xfId="0" applyNumberFormat="1" applyFont="1" applyBorder="1" applyAlignment="1" applyProtection="1" quotePrefix="1">
      <alignment vertical="center"/>
      <protection hidden="1"/>
    </xf>
    <xf numFmtId="4" fontId="22" fillId="27" borderId="45" xfId="0" applyNumberFormat="1" applyFont="1" applyFill="1" applyBorder="1" applyAlignment="1" applyProtection="1">
      <alignment vertical="center"/>
      <protection locked="0"/>
    </xf>
    <xf numFmtId="0" fontId="23" fillId="37" borderId="46" xfId="0" applyFont="1" applyFill="1" applyBorder="1" applyAlignment="1" applyProtection="1">
      <alignment horizontal="left" vertical="center"/>
      <protection hidden="1"/>
    </xf>
    <xf numFmtId="0" fontId="23" fillId="37" borderId="40" xfId="0" applyFont="1" applyFill="1" applyBorder="1" applyAlignment="1" applyProtection="1">
      <alignment vertical="center"/>
      <protection hidden="1"/>
    </xf>
    <xf numFmtId="0" fontId="5" fillId="0" borderId="42" xfId="0" applyNumberFormat="1" applyFont="1" applyBorder="1" applyAlignment="1" applyProtection="1">
      <alignment vertical="center"/>
      <protection hidden="1"/>
    </xf>
    <xf numFmtId="4" fontId="22" fillId="0" borderId="47" xfId="0" applyNumberFormat="1" applyFont="1" applyBorder="1" applyAlignment="1" applyProtection="1">
      <alignment vertical="center"/>
      <protection hidden="1"/>
    </xf>
    <xf numFmtId="0" fontId="5" fillId="0" borderId="44" xfId="0" applyNumberFormat="1" applyFont="1" applyBorder="1" applyAlignment="1" applyProtection="1">
      <alignment vertical="center"/>
      <protection hidden="1"/>
    </xf>
    <xf numFmtId="12" fontId="23" fillId="37" borderId="46" xfId="0" applyNumberFormat="1" applyFont="1" applyFill="1" applyBorder="1" applyAlignment="1" applyProtection="1">
      <alignment horizontal="left" vertical="center"/>
      <protection hidden="1"/>
    </xf>
    <xf numFmtId="0" fontId="23" fillId="29" borderId="48" xfId="0" applyFont="1" applyFill="1" applyBorder="1" applyAlignment="1" applyProtection="1">
      <alignment horizontal="right" vertical="center"/>
      <protection hidden="1"/>
    </xf>
    <xf numFmtId="0" fontId="23" fillId="29" borderId="49" xfId="0" applyFont="1" applyFill="1" applyBorder="1" applyAlignment="1" applyProtection="1">
      <alignment horizontal="left" vertical="center"/>
      <protection hidden="1"/>
    </xf>
    <xf numFmtId="0" fontId="22" fillId="29" borderId="41" xfId="0" applyFont="1" applyFill="1" applyBorder="1" applyAlignment="1" applyProtection="1">
      <alignment vertical="center"/>
      <protection hidden="1"/>
    </xf>
    <xf numFmtId="0" fontId="22" fillId="29" borderId="50" xfId="0" applyFont="1" applyFill="1" applyBorder="1" applyAlignment="1" applyProtection="1">
      <alignment vertical="center"/>
      <protection hidden="1"/>
    </xf>
    <xf numFmtId="4" fontId="22" fillId="29" borderId="43" xfId="0" applyNumberFormat="1" applyFont="1" applyFill="1" applyBorder="1" applyAlignment="1" applyProtection="1">
      <alignment vertical="center"/>
      <protection hidden="1"/>
    </xf>
    <xf numFmtId="4" fontId="22" fillId="44" borderId="45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 wrapText="1"/>
      <protection hidden="1"/>
    </xf>
    <xf numFmtId="0" fontId="13" fillId="0" borderId="40" xfId="0" applyFont="1" applyBorder="1" applyAlignment="1" applyProtection="1">
      <alignment horizontal="left" vertical="center" wrapText="1"/>
      <protection hidden="1"/>
    </xf>
    <xf numFmtId="0" fontId="27" fillId="0" borderId="39" xfId="0" applyFont="1" applyBorder="1" applyAlignment="1" applyProtection="1">
      <alignment vertical="center"/>
      <protection hidden="1"/>
    </xf>
    <xf numFmtId="0" fontId="13" fillId="0" borderId="40" xfId="0" applyFont="1" applyBorder="1" applyAlignment="1" applyProtection="1">
      <alignment vertical="center" wrapText="1"/>
      <protection hidden="1"/>
    </xf>
    <xf numFmtId="0" fontId="13" fillId="0" borderId="39" xfId="0" applyFont="1" applyBorder="1" applyAlignment="1" applyProtection="1">
      <alignment vertical="center" wrapText="1"/>
      <protection hidden="1"/>
    </xf>
    <xf numFmtId="0" fontId="13" fillId="0" borderId="46" xfId="0" applyFont="1" applyBorder="1" applyAlignment="1" applyProtection="1">
      <alignment vertical="center" wrapText="1"/>
      <protection hidden="1"/>
    </xf>
    <xf numFmtId="0" fontId="28" fillId="45" borderId="51" xfId="0" applyFont="1" applyFill="1" applyBorder="1" applyAlignment="1" applyProtection="1">
      <alignment vertical="center"/>
      <protection hidden="1"/>
    </xf>
    <xf numFmtId="0" fontId="28" fillId="45" borderId="52" xfId="0" applyFont="1" applyFill="1" applyBorder="1" applyAlignment="1" applyProtection="1">
      <alignment vertical="center"/>
      <protection hidden="1"/>
    </xf>
    <xf numFmtId="0" fontId="28" fillId="45" borderId="53" xfId="0" applyFont="1" applyFill="1" applyBorder="1" applyAlignment="1" applyProtection="1">
      <alignment vertical="center"/>
      <protection hidden="1"/>
    </xf>
    <xf numFmtId="4" fontId="28" fillId="45" borderId="54" xfId="0" applyNumberFormat="1" applyFont="1" applyFill="1" applyBorder="1" applyAlignment="1" applyProtection="1">
      <alignment vertical="center"/>
      <protection hidden="1"/>
    </xf>
    <xf numFmtId="4" fontId="28" fillId="44" borderId="45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hidden="1"/>
    </xf>
    <xf numFmtId="0" fontId="22" fillId="0" borderId="36" xfId="0" applyFont="1" applyBorder="1" applyAlignment="1" applyProtection="1">
      <alignment vertical="center"/>
      <protection locked="0"/>
    </xf>
    <xf numFmtId="0" fontId="30" fillId="46" borderId="55" xfId="43" applyFont="1" applyFill="1" applyBorder="1" applyAlignment="1" applyProtection="1">
      <alignment vertical="center"/>
      <protection hidden="1"/>
    </xf>
    <xf numFmtId="0" fontId="22" fillId="46" borderId="56" xfId="43" applyFont="1" applyFill="1" applyBorder="1" applyAlignment="1" applyProtection="1">
      <alignment vertical="center"/>
      <protection hidden="1"/>
    </xf>
    <xf numFmtId="0" fontId="22" fillId="46" borderId="57" xfId="43" applyFont="1" applyFill="1" applyBorder="1" applyAlignment="1" applyProtection="1">
      <alignment vertical="center"/>
      <protection hidden="1"/>
    </xf>
    <xf numFmtId="0" fontId="22" fillId="47" borderId="33" xfId="51" applyFont="1" applyFill="1" applyBorder="1" applyAlignment="1" applyProtection="1">
      <alignment horizontal="right" vertical="center"/>
      <protection hidden="1"/>
    </xf>
    <xf numFmtId="0" fontId="22" fillId="47" borderId="34" xfId="51" applyFont="1" applyFill="1" applyBorder="1" applyAlignment="1" applyProtection="1">
      <alignment vertical="center"/>
      <protection hidden="1"/>
    </xf>
    <xf numFmtId="0" fontId="22" fillId="47" borderId="34" xfId="0" applyFont="1" applyFill="1" applyBorder="1" applyAlignment="1" applyProtection="1">
      <alignment vertical="center"/>
      <protection hidden="1"/>
    </xf>
    <xf numFmtId="0" fontId="22" fillId="47" borderId="35" xfId="0" applyFont="1" applyFill="1" applyBorder="1" applyAlignment="1" applyProtection="1">
      <alignment vertical="center"/>
      <protection hidden="1"/>
    </xf>
    <xf numFmtId="0" fontId="22" fillId="47" borderId="51" xfId="51" applyFont="1" applyFill="1" applyBorder="1" applyAlignment="1" applyProtection="1">
      <alignment horizontal="right" vertical="center"/>
      <protection hidden="1"/>
    </xf>
    <xf numFmtId="0" fontId="28" fillId="47" borderId="55" xfId="48" applyFont="1" applyFill="1" applyBorder="1" applyAlignment="1" applyProtection="1">
      <alignment horizontal="right" vertical="center"/>
      <protection hidden="1"/>
    </xf>
    <xf numFmtId="0" fontId="28" fillId="47" borderId="56" xfId="48" applyFont="1" applyFill="1" applyBorder="1" applyAlignment="1" applyProtection="1">
      <alignment vertical="center"/>
      <protection hidden="1"/>
    </xf>
    <xf numFmtId="0" fontId="28" fillId="47" borderId="57" xfId="48" applyFont="1" applyFill="1" applyBorder="1" applyAlignment="1" applyProtection="1">
      <alignment vertical="center"/>
      <protection hidden="1"/>
    </xf>
    <xf numFmtId="0" fontId="22" fillId="47" borderId="58" xfId="51" applyFont="1" applyFill="1" applyBorder="1" applyAlignment="1" applyProtection="1">
      <alignment horizontal="right" vertical="center"/>
      <protection hidden="1"/>
    </xf>
    <xf numFmtId="176" fontId="22" fillId="47" borderId="0" xfId="50" applyNumberFormat="1" applyFont="1" applyFill="1" applyBorder="1" applyAlignment="1" applyProtection="1">
      <alignment horizontal="left" vertical="center"/>
      <protection hidden="1"/>
    </xf>
    <xf numFmtId="0" fontId="22" fillId="47" borderId="0" xfId="0" applyFont="1" applyFill="1" applyBorder="1" applyAlignment="1" applyProtection="1">
      <alignment vertical="center"/>
      <protection hidden="1"/>
    </xf>
    <xf numFmtId="0" fontId="22" fillId="47" borderId="59" xfId="0" applyFont="1" applyFill="1" applyBorder="1" applyAlignment="1" applyProtection="1">
      <alignment vertical="center"/>
      <protection hidden="1"/>
    </xf>
    <xf numFmtId="0" fontId="30" fillId="45" borderId="55" xfId="0" applyFont="1" applyFill="1" applyBorder="1" applyAlignment="1" applyProtection="1">
      <alignment horizontal="right" vertical="center"/>
      <protection hidden="1"/>
    </xf>
    <xf numFmtId="0" fontId="30" fillId="45" borderId="56" xfId="0" applyFont="1" applyFill="1" applyBorder="1" applyAlignment="1" applyProtection="1">
      <alignment vertical="center"/>
      <protection hidden="1"/>
    </xf>
    <xf numFmtId="0" fontId="30" fillId="45" borderId="57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48" borderId="60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9" fillId="49" borderId="55" xfId="0" applyFont="1" applyFill="1" applyBorder="1" applyAlignment="1" applyProtection="1">
      <alignment vertical="center"/>
      <protection hidden="1"/>
    </xf>
    <xf numFmtId="0" fontId="19" fillId="49" borderId="56" xfId="0" applyFont="1" applyFill="1" applyBorder="1" applyAlignment="1" applyProtection="1">
      <alignment vertical="center"/>
      <protection hidden="1"/>
    </xf>
    <xf numFmtId="0" fontId="22" fillId="46" borderId="0" xfId="0" applyFont="1" applyFill="1" applyAlignment="1" applyProtection="1">
      <alignment/>
      <protection hidden="1"/>
    </xf>
    <xf numFmtId="0" fontId="34" fillId="0" borderId="60" xfId="0" applyFont="1" applyBorder="1" applyAlignment="1" applyProtection="1">
      <alignment horizontal="center" vertical="center"/>
      <protection hidden="1"/>
    </xf>
    <xf numFmtId="0" fontId="35" fillId="43" borderId="0" xfId="0" applyFont="1" applyFill="1" applyAlignment="1" applyProtection="1">
      <alignment horizontal="center" vertical="center" textRotation="180"/>
      <protection hidden="1"/>
    </xf>
    <xf numFmtId="0" fontId="6" fillId="44" borderId="0" xfId="0" applyFont="1" applyFill="1" applyAlignment="1" applyProtection="1">
      <alignment/>
      <protection hidden="1"/>
    </xf>
    <xf numFmtId="0" fontId="6" fillId="44" borderId="0" xfId="0" applyFont="1" applyFill="1" applyAlignment="1" applyProtection="1">
      <alignment horizontal="centerContinuous"/>
      <protection hidden="1"/>
    </xf>
    <xf numFmtId="0" fontId="5" fillId="50" borderId="61" xfId="0" applyFont="1" applyFill="1" applyBorder="1" applyAlignment="1" applyProtection="1">
      <alignment horizontal="center" vertical="center"/>
      <protection hidden="1"/>
    </xf>
    <xf numFmtId="0" fontId="5" fillId="0" borderId="60" xfId="0" applyFont="1" applyBorder="1" applyAlignment="1" applyProtection="1">
      <alignment/>
      <protection hidden="1"/>
    </xf>
    <xf numFmtId="0" fontId="5" fillId="51" borderId="60" xfId="0" applyFont="1" applyFill="1" applyBorder="1" applyAlignment="1" applyProtection="1">
      <alignment/>
      <protection hidden="1"/>
    </xf>
    <xf numFmtId="0" fontId="13" fillId="46" borderId="0" xfId="0" applyFont="1" applyFill="1" applyAlignment="1" applyProtection="1">
      <alignment/>
      <protection hidden="1"/>
    </xf>
    <xf numFmtId="0" fontId="5" fillId="46" borderId="0" xfId="0" applyFont="1" applyFill="1" applyAlignment="1" applyProtection="1">
      <alignment/>
      <protection hidden="1"/>
    </xf>
    <xf numFmtId="0" fontId="5" fillId="46" borderId="0" xfId="0" applyFont="1" applyFill="1" applyAlignment="1" applyProtection="1">
      <alignment horizontal="left"/>
      <protection hidden="1"/>
    </xf>
    <xf numFmtId="0" fontId="16" fillId="46" borderId="0" xfId="0" applyFont="1" applyFill="1" applyAlignment="1" applyProtection="1">
      <alignment/>
      <protection hidden="1"/>
    </xf>
    <xf numFmtId="0" fontId="5" fillId="46" borderId="0" xfId="0" applyFont="1" applyFill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5" fillId="27" borderId="0" xfId="0" applyFont="1" applyFill="1" applyAlignment="1" applyProtection="1">
      <alignment/>
      <protection hidden="1"/>
    </xf>
    <xf numFmtId="0" fontId="16" fillId="40" borderId="0" xfId="0" applyFont="1" applyFill="1" applyAlignment="1" applyProtection="1">
      <alignment/>
      <protection hidden="1"/>
    </xf>
    <xf numFmtId="0" fontId="5" fillId="40" borderId="0" xfId="0" applyFont="1" applyFill="1" applyAlignment="1" applyProtection="1">
      <alignment/>
      <protection hidden="1"/>
    </xf>
    <xf numFmtId="0" fontId="5" fillId="40" borderId="0" xfId="0" applyFont="1" applyFill="1" applyAlignment="1" applyProtection="1">
      <alignment horizontal="center"/>
      <protection hidden="1"/>
    </xf>
    <xf numFmtId="0" fontId="5" fillId="40" borderId="0" xfId="0" applyFont="1" applyFill="1" applyAlignment="1" applyProtection="1">
      <alignment horizontal="left"/>
      <protection hidden="1"/>
    </xf>
    <xf numFmtId="0" fontId="36" fillId="0" borderId="0" xfId="0" applyFont="1" applyAlignment="1" applyProtection="1">
      <alignment/>
      <protection hidden="1"/>
    </xf>
    <xf numFmtId="4" fontId="5" fillId="27" borderId="60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4" fontId="5" fillId="0" borderId="60" xfId="0" applyNumberFormat="1" applyFont="1" applyBorder="1" applyAlignment="1" applyProtection="1">
      <alignment/>
      <protection hidden="1"/>
    </xf>
    <xf numFmtId="0" fontId="16" fillId="40" borderId="0" xfId="0" applyFont="1" applyFill="1" applyAlignment="1" applyProtection="1">
      <alignment horizontal="center"/>
      <protection hidden="1"/>
    </xf>
    <xf numFmtId="0" fontId="16" fillId="40" borderId="31" xfId="0" applyNumberFormat="1" applyFont="1" applyFill="1" applyBorder="1" applyAlignment="1" applyProtection="1">
      <alignment horizont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4" fontId="5" fillId="27" borderId="45" xfId="0" applyNumberFormat="1" applyFont="1" applyFill="1" applyBorder="1" applyAlignment="1" applyProtection="1">
      <alignment/>
      <protection hidden="1"/>
    </xf>
    <xf numFmtId="4" fontId="5" fillId="51" borderId="45" xfId="0" applyNumberFormat="1" applyFont="1" applyFill="1" applyBorder="1" applyAlignment="1" applyProtection="1">
      <alignment/>
      <protection hidden="1"/>
    </xf>
    <xf numFmtId="4" fontId="5" fillId="27" borderId="62" xfId="0" applyNumberFormat="1" applyFont="1" applyFill="1" applyBorder="1" applyAlignment="1" applyProtection="1">
      <alignment/>
      <protection hidden="1"/>
    </xf>
    <xf numFmtId="4" fontId="5" fillId="0" borderId="62" xfId="0" applyNumberFormat="1" applyFont="1" applyBorder="1" applyAlignment="1" applyProtection="1">
      <alignment/>
      <protection hidden="1"/>
    </xf>
    <xf numFmtId="0" fontId="5" fillId="29" borderId="0" xfId="0" applyFont="1" applyFill="1" applyAlignment="1" applyProtection="1">
      <alignment vertical="top"/>
      <protection hidden="1"/>
    </xf>
    <xf numFmtId="0" fontId="5" fillId="29" borderId="0" xfId="0" applyFont="1" applyFill="1" applyAlignment="1" applyProtection="1">
      <alignment wrapText="1"/>
      <protection hidden="1"/>
    </xf>
    <xf numFmtId="177" fontId="5" fillId="29" borderId="0" xfId="0" applyNumberFormat="1" applyFont="1" applyFill="1" applyAlignment="1" applyProtection="1">
      <alignment horizontal="right" wrapText="1"/>
      <protection hidden="1"/>
    </xf>
    <xf numFmtId="0" fontId="5" fillId="29" borderId="31" xfId="0" applyFont="1" applyFill="1" applyBorder="1" applyAlignment="1" applyProtection="1">
      <alignment/>
      <protection hidden="1"/>
    </xf>
    <xf numFmtId="0" fontId="16" fillId="29" borderId="31" xfId="0" applyFont="1" applyFill="1" applyBorder="1" applyAlignment="1" applyProtection="1">
      <alignment/>
      <protection hidden="1"/>
    </xf>
    <xf numFmtId="0" fontId="5" fillId="29" borderId="31" xfId="0" applyFont="1" applyFill="1" applyBorder="1" applyAlignment="1" applyProtection="1">
      <alignment horizontal="left"/>
      <protection hidden="1"/>
    </xf>
    <xf numFmtId="0" fontId="28" fillId="46" borderId="0" xfId="0" applyFont="1" applyFill="1" applyAlignment="1" applyProtection="1">
      <alignment/>
      <protection hidden="1"/>
    </xf>
    <xf numFmtId="0" fontId="28" fillId="46" borderId="0" xfId="0" applyFont="1" applyFill="1" applyAlignment="1" applyProtection="1">
      <alignment/>
      <protection hidden="1"/>
    </xf>
    <xf numFmtId="0" fontId="22" fillId="46" borderId="0" xfId="0" applyFont="1" applyFill="1" applyAlignment="1" applyProtection="1">
      <alignment horizontal="right"/>
      <protection hidden="1"/>
    </xf>
    <xf numFmtId="178" fontId="22" fillId="46" borderId="0" xfId="0" applyNumberFormat="1" applyFont="1" applyFill="1" applyAlignment="1" applyProtection="1">
      <alignment/>
      <protection hidden="1"/>
    </xf>
    <xf numFmtId="0" fontId="22" fillId="46" borderId="0" xfId="0" applyFont="1" applyFill="1" applyAlignment="1" applyProtection="1">
      <alignment horizontal="left"/>
      <protection hidden="1"/>
    </xf>
    <xf numFmtId="0" fontId="37" fillId="46" borderId="0" xfId="0" applyFont="1" applyFill="1" applyAlignment="1" applyProtection="1">
      <alignment/>
      <protection hidden="1"/>
    </xf>
    <xf numFmtId="0" fontId="22" fillId="46" borderId="0" xfId="0" applyFont="1" applyFill="1" applyAlignment="1" applyProtection="1">
      <alignment horizontal="center"/>
      <protection hidden="1"/>
    </xf>
    <xf numFmtId="17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9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9" fontId="4" fillId="0" borderId="0" xfId="0" applyNumberFormat="1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44" fillId="52" borderId="0" xfId="0" applyFont="1" applyFill="1" applyAlignment="1" applyProtection="1">
      <alignment vertical="center"/>
      <protection hidden="1"/>
    </xf>
    <xf numFmtId="0" fontId="42" fillId="52" borderId="0" xfId="0" applyFont="1" applyFill="1" applyAlignment="1" applyProtection="1">
      <alignment vertical="center"/>
      <protection hidden="1"/>
    </xf>
    <xf numFmtId="0" fontId="43" fillId="52" borderId="0" xfId="0" applyFont="1" applyFill="1" applyAlignment="1" applyProtection="1">
      <alignment horizontal="right" vertical="center"/>
      <protection hidden="1"/>
    </xf>
    <xf numFmtId="178" fontId="43" fillId="52" borderId="0" xfId="0" applyNumberFormat="1" applyFont="1" applyFill="1" applyAlignment="1" applyProtection="1">
      <alignment vertical="center"/>
      <protection hidden="1"/>
    </xf>
    <xf numFmtId="0" fontId="43" fillId="52" borderId="0" xfId="0" applyFont="1" applyFill="1" applyAlignment="1" applyProtection="1">
      <alignment horizontal="left" vertical="center"/>
      <protection hidden="1"/>
    </xf>
    <xf numFmtId="0" fontId="43" fillId="52" borderId="0" xfId="0" applyFont="1" applyFill="1" applyAlignment="1" applyProtection="1">
      <alignment vertical="center"/>
      <protection hidden="1"/>
    </xf>
    <xf numFmtId="181" fontId="43" fillId="52" borderId="0" xfId="0" applyNumberFormat="1" applyFont="1" applyFill="1" applyAlignment="1" applyProtection="1">
      <alignment vertical="center"/>
      <protection hidden="1"/>
    </xf>
    <xf numFmtId="0" fontId="43" fillId="52" borderId="0" xfId="0" applyFont="1" applyFill="1" applyAlignment="1" applyProtection="1">
      <alignment horizontal="center" vertical="center"/>
      <protection hidden="1"/>
    </xf>
    <xf numFmtId="0" fontId="46" fillId="0" borderId="6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19" fillId="49" borderId="0" xfId="58" applyFont="1" applyFill="1" applyAlignment="1" applyProtection="1">
      <alignment horizontal="centerContinuous" vertical="center" wrapText="1"/>
      <protection hidden="1"/>
    </xf>
    <xf numFmtId="169" fontId="20" fillId="49" borderId="0" xfId="58" applyNumberFormat="1" applyFont="1" applyFill="1" applyAlignment="1" applyProtection="1">
      <alignment vertical="center"/>
      <protection hidden="1"/>
    </xf>
    <xf numFmtId="169" fontId="21" fillId="0" borderId="0" xfId="58" applyNumberFormat="1" applyFont="1" applyAlignment="1" applyProtection="1">
      <alignment horizontal="center" vertical="center"/>
      <protection hidden="1"/>
    </xf>
    <xf numFmtId="0" fontId="19" fillId="49" borderId="0" xfId="58" applyFont="1" applyFill="1" applyAlignment="1" applyProtection="1">
      <alignment vertical="center"/>
      <protection hidden="1"/>
    </xf>
    <xf numFmtId="0" fontId="45" fillId="0" borderId="0" xfId="58" applyFont="1" applyBorder="1" applyAlignment="1" applyProtection="1">
      <alignment vertical="center"/>
      <protection hidden="1"/>
    </xf>
    <xf numFmtId="0" fontId="22" fillId="53" borderId="0" xfId="58" applyFill="1" applyProtection="1">
      <alignment/>
      <protection hidden="1"/>
    </xf>
    <xf numFmtId="0" fontId="11" fillId="36" borderId="0" xfId="58" applyFont="1" applyFill="1" applyAlignment="1" applyProtection="1">
      <alignment vertical="center"/>
      <protection hidden="1"/>
    </xf>
    <xf numFmtId="0" fontId="22" fillId="0" borderId="0" xfId="58" applyProtection="1">
      <alignment/>
      <protection hidden="1"/>
    </xf>
    <xf numFmtId="0" fontId="11" fillId="0" borderId="0" xfId="58" applyFont="1" applyProtection="1">
      <alignment/>
      <protection hidden="1"/>
    </xf>
    <xf numFmtId="0" fontId="6" fillId="36" borderId="0" xfId="58" applyFont="1" applyFill="1" applyProtection="1">
      <alignment/>
      <protection hidden="1"/>
    </xf>
    <xf numFmtId="0" fontId="22" fillId="36" borderId="0" xfId="58" applyFont="1" applyFill="1" applyProtection="1">
      <alignment/>
      <protection hidden="1"/>
    </xf>
    <xf numFmtId="0" fontId="5" fillId="0" borderId="0" xfId="58" applyFont="1" applyProtection="1">
      <alignment/>
      <protection hidden="1"/>
    </xf>
    <xf numFmtId="0" fontId="5" fillId="0" borderId="26" xfId="58" applyFont="1" applyBorder="1" applyProtection="1">
      <alignment/>
      <protection hidden="1"/>
    </xf>
    <xf numFmtId="0" fontId="5" fillId="0" borderId="27" xfId="58" applyFont="1" applyBorder="1" applyProtection="1">
      <alignment/>
      <protection hidden="1"/>
    </xf>
    <xf numFmtId="0" fontId="5" fillId="0" borderId="28" xfId="58" applyFont="1" applyBorder="1" applyProtection="1">
      <alignment/>
      <protection hidden="1"/>
    </xf>
    <xf numFmtId="0" fontId="11" fillId="0" borderId="0" xfId="58" applyFont="1" applyAlignment="1" applyProtection="1">
      <alignment vertical="center"/>
      <protection hidden="1"/>
    </xf>
    <xf numFmtId="0" fontId="5" fillId="0" borderId="29" xfId="58" applyFont="1" applyBorder="1" applyAlignment="1" applyProtection="1">
      <alignment horizontal="centerContinuous" vertical="center" wrapText="1"/>
      <protection hidden="1"/>
    </xf>
    <xf numFmtId="0" fontId="5" fillId="0" borderId="30" xfId="58" applyFont="1" applyBorder="1" applyAlignment="1" applyProtection="1">
      <alignment horizontal="centerContinuous" vertical="center" wrapText="1"/>
      <protection hidden="1"/>
    </xf>
    <xf numFmtId="0" fontId="24" fillId="37" borderId="31" xfId="58" applyFont="1" applyFill="1" applyBorder="1" applyAlignment="1" applyProtection="1">
      <alignment horizontal="center" vertical="center"/>
      <protection hidden="1"/>
    </xf>
    <xf numFmtId="0" fontId="5" fillId="0" borderId="31" xfId="58" applyFont="1" applyBorder="1" applyAlignment="1" applyProtection="1">
      <alignment horizontal="left" vertical="center"/>
      <protection hidden="1"/>
    </xf>
    <xf numFmtId="0" fontId="11" fillId="0" borderId="32" xfId="58" applyFont="1" applyBorder="1" applyAlignment="1" applyProtection="1">
      <alignment horizontal="center" vertical="center"/>
      <protection hidden="1"/>
    </xf>
    <xf numFmtId="0" fontId="99" fillId="54" borderId="63" xfId="58" applyFont="1" applyFill="1" applyBorder="1" applyAlignment="1" applyProtection="1">
      <alignment vertical="center"/>
      <protection hidden="1"/>
    </xf>
    <xf numFmtId="0" fontId="100" fillId="54" borderId="64" xfId="58" applyFont="1" applyFill="1" applyBorder="1" applyAlignment="1" applyProtection="1">
      <alignment vertical="center"/>
      <protection hidden="1"/>
    </xf>
    <xf numFmtId="0" fontId="100" fillId="54" borderId="65" xfId="58" applyFont="1" applyFill="1" applyBorder="1" applyAlignment="1" applyProtection="1">
      <alignment vertical="center"/>
      <protection hidden="1"/>
    </xf>
    <xf numFmtId="0" fontId="22" fillId="0" borderId="39" xfId="58" applyFill="1" applyBorder="1" applyAlignment="1" applyProtection="1">
      <alignment vertical="center"/>
      <protection hidden="1"/>
    </xf>
    <xf numFmtId="0" fontId="13" fillId="0" borderId="33" xfId="58" applyFont="1" applyBorder="1" applyAlignment="1" applyProtection="1">
      <alignment horizontal="left" vertical="center" wrapText="1"/>
      <protection hidden="1"/>
    </xf>
    <xf numFmtId="0" fontId="5" fillId="0" borderId="34" xfId="58" applyFont="1" applyBorder="1" applyAlignment="1" applyProtection="1">
      <alignment vertical="center"/>
      <protection hidden="1"/>
    </xf>
    <xf numFmtId="0" fontId="27" fillId="0" borderId="34" xfId="58" applyFont="1" applyBorder="1" applyAlignment="1" applyProtection="1">
      <alignment vertical="center"/>
      <protection hidden="1"/>
    </xf>
    <xf numFmtId="0" fontId="8" fillId="0" borderId="34" xfId="58" applyFont="1" applyBorder="1" applyAlignment="1" applyProtection="1">
      <alignment vertical="center"/>
      <protection hidden="1"/>
    </xf>
    <xf numFmtId="0" fontId="5" fillId="0" borderId="27" xfId="58" applyFont="1" applyBorder="1" applyAlignment="1" applyProtection="1">
      <alignment vertical="center"/>
      <protection hidden="1"/>
    </xf>
    <xf numFmtId="0" fontId="16" fillId="0" borderId="35" xfId="58" applyFont="1" applyBorder="1" applyAlignment="1" applyProtection="1">
      <alignment horizontal="right" vertical="center"/>
      <protection hidden="1"/>
    </xf>
    <xf numFmtId="0" fontId="12" fillId="55" borderId="66" xfId="58" applyFont="1" applyFill="1" applyBorder="1" applyAlignment="1" applyProtection="1">
      <alignment vertical="center" wrapText="1"/>
      <protection hidden="1"/>
    </xf>
    <xf numFmtId="0" fontId="22" fillId="0" borderId="50" xfId="58" applyFill="1" applyBorder="1" applyAlignment="1" applyProtection="1">
      <alignment vertical="center"/>
      <protection hidden="1"/>
    </xf>
    <xf numFmtId="0" fontId="13" fillId="0" borderId="41" xfId="58" applyFont="1" applyBorder="1" applyAlignment="1" applyProtection="1">
      <alignment vertical="center" wrapText="1"/>
      <protection hidden="1"/>
    </xf>
    <xf numFmtId="0" fontId="13" fillId="0" borderId="40" xfId="58" applyFont="1" applyBorder="1" applyAlignment="1" applyProtection="1">
      <alignment horizontal="left" vertical="center" wrapText="1"/>
      <protection hidden="1"/>
    </xf>
    <xf numFmtId="0" fontId="27" fillId="0" borderId="40" xfId="58" applyFont="1" applyBorder="1" applyAlignment="1" applyProtection="1">
      <alignment vertical="center"/>
      <protection hidden="1"/>
    </xf>
    <xf numFmtId="0" fontId="13" fillId="0" borderId="40" xfId="58" applyFont="1" applyBorder="1" applyAlignment="1" applyProtection="1">
      <alignment vertical="center" wrapText="1"/>
      <protection hidden="1"/>
    </xf>
    <xf numFmtId="0" fontId="13" fillId="0" borderId="50" xfId="58" applyFont="1" applyBorder="1" applyAlignment="1" applyProtection="1">
      <alignment vertical="center" wrapText="1"/>
      <protection hidden="1"/>
    </xf>
    <xf numFmtId="0" fontId="13" fillId="0" borderId="46" xfId="58" applyFont="1" applyBorder="1" applyAlignment="1" applyProtection="1">
      <alignment vertical="center" wrapText="1"/>
      <protection hidden="1"/>
    </xf>
    <xf numFmtId="170" fontId="23" fillId="37" borderId="37" xfId="58" applyNumberFormat="1" applyFont="1" applyFill="1" applyBorder="1" applyAlignment="1" applyProtection="1">
      <alignment horizontal="right" vertical="center"/>
      <protection hidden="1"/>
    </xf>
    <xf numFmtId="0" fontId="23" fillId="37" borderId="38" xfId="58" applyFont="1" applyFill="1" applyBorder="1" applyAlignment="1" applyProtection="1">
      <alignment horizontal="left" vertical="center"/>
      <protection hidden="1"/>
    </xf>
    <xf numFmtId="0" fontId="23" fillId="37" borderId="39" xfId="58" applyFont="1" applyFill="1" applyBorder="1" applyAlignment="1" applyProtection="1">
      <alignment vertical="center"/>
      <protection hidden="1"/>
    </xf>
    <xf numFmtId="171" fontId="23" fillId="37" borderId="40" xfId="58" applyNumberFormat="1" applyFont="1" applyFill="1" applyBorder="1" applyAlignment="1" applyProtection="1">
      <alignment vertical="center"/>
      <protection hidden="1"/>
    </xf>
    <xf numFmtId="168" fontId="5" fillId="0" borderId="41" xfId="58" applyNumberFormat="1" applyFont="1" applyBorder="1" applyAlignment="1" applyProtection="1">
      <alignment vertical="center"/>
      <protection hidden="1"/>
    </xf>
    <xf numFmtId="0" fontId="5" fillId="0" borderId="42" xfId="58" applyNumberFormat="1" applyFont="1" applyBorder="1" applyAlignment="1" applyProtection="1" quotePrefix="1">
      <alignment vertical="center"/>
      <protection hidden="1"/>
    </xf>
    <xf numFmtId="182" fontId="22" fillId="0" borderId="43" xfId="58" applyNumberFormat="1" applyFont="1" applyBorder="1" applyAlignment="1" applyProtection="1">
      <alignment vertical="center"/>
      <protection hidden="1"/>
    </xf>
    <xf numFmtId="0" fontId="5" fillId="0" borderId="40" xfId="58" applyNumberFormat="1" applyFont="1" applyBorder="1" applyAlignment="1" applyProtection="1" quotePrefix="1">
      <alignment vertical="center"/>
      <protection hidden="1"/>
    </xf>
    <xf numFmtId="182" fontId="22" fillId="27" borderId="45" xfId="58" applyNumberFormat="1" applyFont="1" applyFill="1" applyBorder="1" applyAlignment="1" applyProtection="1">
      <alignment vertical="center"/>
      <protection hidden="1"/>
    </xf>
    <xf numFmtId="4" fontId="22" fillId="0" borderId="43" xfId="58" applyNumberFormat="1" applyFont="1" applyBorder="1" applyAlignment="1" applyProtection="1">
      <alignment vertical="center"/>
      <protection hidden="1"/>
    </xf>
    <xf numFmtId="0" fontId="48" fillId="55" borderId="66" xfId="58" applyFont="1" applyFill="1" applyBorder="1" applyProtection="1">
      <alignment/>
      <protection hidden="1"/>
    </xf>
    <xf numFmtId="0" fontId="36" fillId="55" borderId="0" xfId="58" applyNumberFormat="1" applyFont="1" applyFill="1" applyBorder="1" applyProtection="1">
      <alignment/>
      <protection hidden="1"/>
    </xf>
    <xf numFmtId="0" fontId="9" fillId="55" borderId="0" xfId="58" applyNumberFormat="1" applyFont="1" applyFill="1" applyBorder="1" applyProtection="1">
      <alignment/>
      <protection hidden="1"/>
    </xf>
    <xf numFmtId="0" fontId="5" fillId="55" borderId="67" xfId="58" applyFont="1" applyFill="1" applyBorder="1" applyProtection="1">
      <alignment/>
      <protection hidden="1"/>
    </xf>
    <xf numFmtId="171" fontId="23" fillId="37" borderId="39" xfId="58" applyNumberFormat="1" applyFont="1" applyFill="1" applyBorder="1" applyAlignment="1" applyProtection="1">
      <alignment vertical="center"/>
      <protection hidden="1"/>
    </xf>
    <xf numFmtId="168" fontId="5" fillId="0" borderId="37" xfId="58" applyNumberFormat="1" applyFont="1" applyBorder="1" applyAlignment="1" applyProtection="1">
      <alignment vertical="center"/>
      <protection hidden="1"/>
    </xf>
    <xf numFmtId="0" fontId="5" fillId="0" borderId="68" xfId="58" applyNumberFormat="1" applyFont="1" applyBorder="1" applyAlignment="1" applyProtection="1" quotePrefix="1">
      <alignment vertical="center"/>
      <protection hidden="1"/>
    </xf>
    <xf numFmtId="182" fontId="22" fillId="0" borderId="47" xfId="58" applyNumberFormat="1" applyFont="1" applyBorder="1" applyAlignment="1" applyProtection="1">
      <alignment vertical="center"/>
      <protection hidden="1"/>
    </xf>
    <xf numFmtId="4" fontId="22" fillId="0" borderId="47" xfId="58" applyNumberFormat="1" applyFont="1" applyBorder="1" applyAlignment="1" applyProtection="1">
      <alignment vertical="center"/>
      <protection hidden="1"/>
    </xf>
    <xf numFmtId="0" fontId="23" fillId="37" borderId="46" xfId="58" applyFont="1" applyFill="1" applyBorder="1" applyAlignment="1" applyProtection="1">
      <alignment horizontal="left" vertical="center"/>
      <protection hidden="1"/>
    </xf>
    <xf numFmtId="0" fontId="23" fillId="37" borderId="40" xfId="58" applyFont="1" applyFill="1" applyBorder="1" applyAlignment="1" applyProtection="1">
      <alignment vertical="center"/>
      <protection hidden="1"/>
    </xf>
    <xf numFmtId="0" fontId="5" fillId="0" borderId="42" xfId="58" applyNumberFormat="1" applyFont="1" applyBorder="1" applyAlignment="1" applyProtection="1">
      <alignment vertical="center"/>
      <protection hidden="1"/>
    </xf>
    <xf numFmtId="0" fontId="5" fillId="0" borderId="40" xfId="58" applyNumberFormat="1" applyFont="1" applyBorder="1" applyAlignment="1" applyProtection="1">
      <alignment vertical="center"/>
      <protection hidden="1"/>
    </xf>
    <xf numFmtId="0" fontId="12" fillId="55" borderId="66" xfId="58" applyFont="1" applyFill="1" applyBorder="1" applyAlignment="1" applyProtection="1">
      <alignment vertical="center"/>
      <protection hidden="1"/>
    </xf>
    <xf numFmtId="12" fontId="23" fillId="37" borderId="46" xfId="58" applyNumberFormat="1" applyFont="1" applyFill="1" applyBorder="1" applyAlignment="1" applyProtection="1">
      <alignment horizontal="left" vertical="center"/>
      <protection hidden="1"/>
    </xf>
    <xf numFmtId="0" fontId="12" fillId="55" borderId="69" xfId="58" applyFont="1" applyFill="1" applyBorder="1" applyAlignment="1" applyProtection="1">
      <alignment vertical="center"/>
      <protection hidden="1"/>
    </xf>
    <xf numFmtId="0" fontId="36" fillId="55" borderId="70" xfId="58" applyNumberFormat="1" applyFont="1" applyFill="1" applyBorder="1" applyProtection="1">
      <alignment/>
      <protection hidden="1"/>
    </xf>
    <xf numFmtId="0" fontId="9" fillId="55" borderId="70" xfId="58" applyNumberFormat="1" applyFont="1" applyFill="1" applyBorder="1" applyProtection="1">
      <alignment/>
      <protection hidden="1"/>
    </xf>
    <xf numFmtId="0" fontId="5" fillId="55" borderId="71" xfId="58" applyFont="1" applyFill="1" applyBorder="1" applyAlignment="1" applyProtection="1">
      <alignment vertical="center"/>
      <protection hidden="1"/>
    </xf>
    <xf numFmtId="0" fontId="28" fillId="45" borderId="51" xfId="58" applyFont="1" applyFill="1" applyBorder="1" applyAlignment="1" applyProtection="1">
      <alignment vertical="center"/>
      <protection hidden="1"/>
    </xf>
    <xf numFmtId="0" fontId="28" fillId="45" borderId="52" xfId="58" applyFont="1" applyFill="1" applyBorder="1" applyAlignment="1" applyProtection="1">
      <alignment vertical="center"/>
      <protection hidden="1"/>
    </xf>
    <xf numFmtId="0" fontId="28" fillId="45" borderId="53" xfId="58" applyFont="1" applyFill="1" applyBorder="1" applyAlignment="1" applyProtection="1">
      <alignment vertical="center"/>
      <protection hidden="1"/>
    </xf>
    <xf numFmtId="182" fontId="28" fillId="45" borderId="54" xfId="58" applyNumberFormat="1" applyFont="1" applyFill="1" applyBorder="1" applyAlignment="1" applyProtection="1">
      <alignment vertical="center"/>
      <protection hidden="1"/>
    </xf>
    <xf numFmtId="182" fontId="28" fillId="44" borderId="45" xfId="58" applyNumberFormat="1" applyFont="1" applyFill="1" applyBorder="1" applyAlignment="1" applyProtection="1">
      <alignment vertical="center"/>
      <protection hidden="1"/>
    </xf>
    <xf numFmtId="4" fontId="28" fillId="45" borderId="54" xfId="58" applyNumberFormat="1" applyFont="1" applyFill="1" applyBorder="1" applyAlignment="1" applyProtection="1">
      <alignment vertical="center"/>
      <protection hidden="1"/>
    </xf>
    <xf numFmtId="0" fontId="23" fillId="29" borderId="41" xfId="58" applyFont="1" applyFill="1" applyBorder="1" applyAlignment="1" applyProtection="1">
      <alignment horizontal="right" vertical="center"/>
      <protection hidden="1"/>
    </xf>
    <xf numFmtId="0" fontId="23" fillId="29" borderId="46" xfId="58" applyFont="1" applyFill="1" applyBorder="1" applyAlignment="1" applyProtection="1">
      <alignment horizontal="left" vertical="center"/>
      <protection hidden="1"/>
    </xf>
    <xf numFmtId="0" fontId="22" fillId="29" borderId="41" xfId="58" applyFont="1" applyFill="1" applyBorder="1" applyAlignment="1" applyProtection="1">
      <alignment vertical="center"/>
      <protection hidden="1"/>
    </xf>
    <xf numFmtId="0" fontId="22" fillId="29" borderId="40" xfId="58" applyFont="1" applyFill="1" applyBorder="1" applyAlignment="1" applyProtection="1">
      <alignment vertical="center"/>
      <protection hidden="1"/>
    </xf>
    <xf numFmtId="182" fontId="22" fillId="29" borderId="43" xfId="58" applyNumberFormat="1" applyFont="1" applyFill="1" applyBorder="1" applyAlignment="1" applyProtection="1">
      <alignment vertical="center"/>
      <protection hidden="1"/>
    </xf>
    <xf numFmtId="182" fontId="22" fillId="44" borderId="45" xfId="58" applyNumberFormat="1" applyFont="1" applyFill="1" applyBorder="1" applyAlignment="1" applyProtection="1">
      <alignment vertical="center"/>
      <protection hidden="1"/>
    </xf>
    <xf numFmtId="4" fontId="22" fillId="29" borderId="43" xfId="58" applyNumberFormat="1" applyFont="1" applyFill="1" applyBorder="1" applyAlignment="1" applyProtection="1">
      <alignment vertical="center"/>
      <protection hidden="1"/>
    </xf>
    <xf numFmtId="0" fontId="29" fillId="0" borderId="0" xfId="58" applyFont="1" applyAlignment="1" applyProtection="1">
      <alignment vertical="center"/>
      <protection hidden="1"/>
    </xf>
    <xf numFmtId="0" fontId="22" fillId="36" borderId="0" xfId="58" applyFont="1" applyFill="1" applyAlignment="1" applyProtection="1">
      <alignment vertical="center"/>
      <protection hidden="1"/>
    </xf>
    <xf numFmtId="0" fontId="101" fillId="36" borderId="0" xfId="58" applyFont="1" applyFill="1" applyAlignment="1" applyProtection="1">
      <alignment vertical="center"/>
      <protection hidden="1"/>
    </xf>
    <xf numFmtId="0" fontId="19" fillId="43" borderId="0" xfId="0" applyFont="1" applyFill="1" applyAlignment="1" applyProtection="1">
      <alignment vertical="center"/>
      <protection hidden="1"/>
    </xf>
    <xf numFmtId="0" fontId="49" fillId="43" borderId="0" xfId="0" applyFont="1" applyFill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11" fillId="0" borderId="0" xfId="0" applyFont="1" applyAlignment="1" applyProtection="1">
      <alignment horizontal="justify" vertical="top" wrapText="1"/>
      <protection hidden="1"/>
    </xf>
    <xf numFmtId="0" fontId="45" fillId="0" borderId="0" xfId="0" applyFont="1" applyAlignment="1" applyProtection="1">
      <alignment vertical="top"/>
      <protection hidden="1"/>
    </xf>
    <xf numFmtId="0" fontId="45" fillId="0" borderId="0" xfId="0" applyFont="1" applyAlignment="1" applyProtection="1">
      <alignment vertical="top" wrapText="1"/>
      <protection hidden="1"/>
    </xf>
    <xf numFmtId="0" fontId="3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 vertical="top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11" fillId="0" borderId="0" xfId="0" applyFont="1" applyFill="1" applyAlignment="1" applyProtection="1">
      <alignment horizontal="left" vertical="top" indent="3"/>
      <protection hidden="1"/>
    </xf>
    <xf numFmtId="0" fontId="11" fillId="0" borderId="0" xfId="0" applyFont="1" applyAlignment="1" applyProtection="1">
      <alignment horizontal="justify"/>
      <protection hidden="1"/>
    </xf>
    <xf numFmtId="0" fontId="24" fillId="0" borderId="72" xfId="0" applyFont="1" applyBorder="1" applyAlignment="1" applyProtection="1">
      <alignment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45" fillId="46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56" borderId="0" xfId="58" applyFont="1" applyFill="1" applyAlignment="1" applyProtection="1">
      <alignment vertical="center"/>
      <protection hidden="1"/>
    </xf>
    <xf numFmtId="14" fontId="102" fillId="0" borderId="10" xfId="0" applyNumberFormat="1" applyFont="1" applyFill="1" applyBorder="1" applyAlignment="1" applyProtection="1">
      <alignment horizontal="right" vertical="center" indent="2"/>
      <protection hidden="1"/>
    </xf>
    <xf numFmtId="14" fontId="102" fillId="0" borderId="11" xfId="0" applyNumberFormat="1" applyFont="1" applyFill="1" applyBorder="1" applyAlignment="1" applyProtection="1">
      <alignment horizontal="right" vertical="center" indent="2"/>
      <protection hidden="1"/>
    </xf>
    <xf numFmtId="14" fontId="102" fillId="0" borderId="73" xfId="0" applyNumberFormat="1" applyFont="1" applyFill="1" applyBorder="1" applyAlignment="1" applyProtection="1">
      <alignment horizontal="right" vertical="center" indent="2"/>
      <protection hidden="1"/>
    </xf>
    <xf numFmtId="0" fontId="9" fillId="37" borderId="20" xfId="0" applyFont="1" applyFill="1" applyBorder="1" applyAlignment="1" applyProtection="1">
      <alignment vertical="center"/>
      <protection locked="0"/>
    </xf>
    <xf numFmtId="0" fontId="9" fillId="37" borderId="21" xfId="0" applyFont="1" applyFill="1" applyBorder="1" applyAlignment="1" applyProtection="1">
      <alignment vertical="center"/>
      <protection locked="0"/>
    </xf>
    <xf numFmtId="0" fontId="9" fillId="37" borderId="14" xfId="0" applyFont="1" applyFill="1" applyBorder="1" applyAlignment="1" applyProtection="1">
      <alignment vertical="center"/>
      <protection locked="0"/>
    </xf>
    <xf numFmtId="0" fontId="15" fillId="36" borderId="0" xfId="0" applyFont="1" applyFill="1" applyAlignment="1" applyProtection="1">
      <alignment horizontal="center" vertical="center" textRotation="90"/>
      <protection hidden="1"/>
    </xf>
    <xf numFmtId="168" fontId="30" fillId="45" borderId="56" xfId="42" applyNumberFormat="1" applyFont="1" applyFill="1" applyBorder="1" applyAlignment="1" applyProtection="1">
      <alignment horizontal="right" vertical="center" indent="2"/>
      <protection hidden="1"/>
    </xf>
    <xf numFmtId="168" fontId="30" fillId="45" borderId="74" xfId="42" applyNumberFormat="1" applyFont="1" applyFill="1" applyBorder="1" applyAlignment="1" applyProtection="1">
      <alignment horizontal="right" vertical="center" indent="2"/>
      <protection hidden="1"/>
    </xf>
    <xf numFmtId="168" fontId="30" fillId="44" borderId="75" xfId="42" applyNumberFormat="1" applyFont="1" applyFill="1" applyBorder="1" applyAlignment="1" applyProtection="1">
      <alignment horizontal="right" vertical="center" indent="2"/>
      <protection locked="0"/>
    </xf>
    <xf numFmtId="168" fontId="30" fillId="44" borderId="76" xfId="42" applyNumberFormat="1" applyFont="1" applyFill="1" applyBorder="1" applyAlignment="1" applyProtection="1">
      <alignment horizontal="right" vertical="center" indent="2"/>
      <protection locked="0"/>
    </xf>
    <xf numFmtId="168" fontId="30" fillId="44" borderId="77" xfId="42" applyNumberFormat="1" applyFont="1" applyFill="1" applyBorder="1" applyAlignment="1" applyProtection="1">
      <alignment horizontal="right" vertical="center" indent="2"/>
      <protection locked="0"/>
    </xf>
    <xf numFmtId="168" fontId="30" fillId="45" borderId="78" xfId="42" applyNumberFormat="1" applyFont="1" applyFill="1" applyBorder="1" applyAlignment="1" applyProtection="1">
      <alignment horizontal="right" vertical="center" indent="2"/>
      <protection hidden="1"/>
    </xf>
    <xf numFmtId="168" fontId="30" fillId="45" borderId="57" xfId="42" applyNumberFormat="1" applyFont="1" applyFill="1" applyBorder="1" applyAlignment="1" applyProtection="1">
      <alignment horizontal="right" vertical="center" indent="2"/>
      <protection hidden="1"/>
    </xf>
    <xf numFmtId="168" fontId="28" fillId="0" borderId="56" xfId="48" applyNumberFormat="1" applyFont="1" applyFill="1" applyBorder="1" applyAlignment="1" applyProtection="1">
      <alignment horizontal="right" vertical="center" indent="2"/>
      <protection hidden="1"/>
    </xf>
    <xf numFmtId="168" fontId="28" fillId="0" borderId="74" xfId="48" applyNumberFormat="1" applyFont="1" applyFill="1" applyBorder="1" applyAlignment="1" applyProtection="1">
      <alignment horizontal="right" vertical="center" indent="2"/>
      <protection hidden="1"/>
    </xf>
    <xf numFmtId="168" fontId="28" fillId="27" borderId="75" xfId="48" applyNumberFormat="1" applyFont="1" applyFill="1" applyBorder="1" applyAlignment="1" applyProtection="1">
      <alignment horizontal="right" vertical="center" indent="2"/>
      <protection locked="0"/>
    </xf>
    <xf numFmtId="168" fontId="28" fillId="27" borderId="76" xfId="48" applyNumberFormat="1" applyFont="1" applyFill="1" applyBorder="1" applyAlignment="1" applyProtection="1">
      <alignment horizontal="right" vertical="center" indent="2"/>
      <protection locked="0"/>
    </xf>
    <xf numFmtId="168" fontId="28" fillId="27" borderId="77" xfId="48" applyNumberFormat="1" applyFont="1" applyFill="1" applyBorder="1" applyAlignment="1" applyProtection="1">
      <alignment horizontal="right" vertical="center" indent="2"/>
      <protection locked="0"/>
    </xf>
    <xf numFmtId="168" fontId="22" fillId="0" borderId="56" xfId="33" applyNumberFormat="1" applyFont="1" applyBorder="1" applyAlignment="1" applyProtection="1">
      <alignment horizontal="right" vertical="center" indent="2"/>
      <protection hidden="1"/>
    </xf>
    <xf numFmtId="168" fontId="22" fillId="0" borderId="74" xfId="33" applyNumberFormat="1" applyFont="1" applyBorder="1" applyAlignment="1" applyProtection="1">
      <alignment horizontal="right" vertical="center" indent="2"/>
      <protection hidden="1"/>
    </xf>
    <xf numFmtId="168" fontId="22" fillId="0" borderId="79" xfId="33" applyNumberFormat="1" applyFont="1" applyBorder="1" applyAlignment="1" applyProtection="1">
      <alignment horizontal="right" vertical="center" indent="2"/>
      <protection hidden="1"/>
    </xf>
    <xf numFmtId="168" fontId="22" fillId="0" borderId="76" xfId="33" applyNumberFormat="1" applyFont="1" applyBorder="1" applyAlignment="1" applyProtection="1">
      <alignment horizontal="right" vertical="center" indent="2"/>
      <protection hidden="1"/>
    </xf>
    <xf numFmtId="168" fontId="22" fillId="0" borderId="80" xfId="33" applyNumberFormat="1" applyFont="1" applyBorder="1" applyAlignment="1" applyProtection="1">
      <alignment horizontal="right" vertical="center" indent="2"/>
      <protection hidden="1"/>
    </xf>
    <xf numFmtId="175" fontId="22" fillId="47" borderId="0" xfId="50" applyNumberFormat="1" applyFont="1" applyFill="1" applyBorder="1" applyAlignment="1" applyProtection="1">
      <alignment horizontal="left" vertical="center"/>
      <protection hidden="1"/>
    </xf>
    <xf numFmtId="175" fontId="22" fillId="47" borderId="59" xfId="50" applyNumberFormat="1" applyFont="1" applyFill="1" applyBorder="1" applyAlignment="1" applyProtection="1">
      <alignment horizontal="left" vertical="center"/>
      <protection hidden="1"/>
    </xf>
    <xf numFmtId="168" fontId="22" fillId="27" borderId="75" xfId="33" applyNumberFormat="1" applyFont="1" applyFill="1" applyBorder="1" applyAlignment="1" applyProtection="1">
      <alignment horizontal="right" vertical="center" indent="2"/>
      <protection locked="0"/>
    </xf>
    <xf numFmtId="168" fontId="22" fillId="27" borderId="76" xfId="33" applyNumberFormat="1" applyFont="1" applyFill="1" applyBorder="1" applyAlignment="1" applyProtection="1">
      <alignment horizontal="right" vertical="center" indent="2"/>
      <protection locked="0"/>
    </xf>
    <xf numFmtId="168" fontId="22" fillId="27" borderId="77" xfId="33" applyNumberFormat="1" applyFont="1" applyFill="1" applyBorder="1" applyAlignment="1" applyProtection="1">
      <alignment horizontal="right" vertical="center" indent="2"/>
      <protection locked="0"/>
    </xf>
    <xf numFmtId="168" fontId="23" fillId="37" borderId="81" xfId="42" applyNumberFormat="1" applyFont="1" applyFill="1" applyBorder="1" applyAlignment="1" applyProtection="1">
      <alignment horizontal="right" vertical="center" indent="2"/>
      <protection hidden="1"/>
    </xf>
    <xf numFmtId="168" fontId="23" fillId="37" borderId="82" xfId="42" applyNumberFormat="1" applyFont="1" applyFill="1" applyBorder="1" applyAlignment="1" applyProtection="1">
      <alignment horizontal="right" vertical="center" indent="2"/>
      <protection hidden="1"/>
    </xf>
    <xf numFmtId="168" fontId="22" fillId="0" borderId="83" xfId="42" applyNumberFormat="1" applyFont="1" applyBorder="1" applyAlignment="1" applyProtection="1">
      <alignment horizontal="right" vertical="center" indent="2"/>
      <protection hidden="1"/>
    </xf>
    <xf numFmtId="168" fontId="22" fillId="0" borderId="81" xfId="42" applyNumberFormat="1" applyFont="1" applyFill="1" applyBorder="1" applyAlignment="1" applyProtection="1">
      <alignment horizontal="right" vertical="center" indent="2"/>
      <protection hidden="1"/>
    </xf>
    <xf numFmtId="168" fontId="22" fillId="0" borderId="82" xfId="42" applyNumberFormat="1" applyFont="1" applyFill="1" applyBorder="1" applyAlignment="1" applyProtection="1">
      <alignment horizontal="right" vertical="center" indent="2"/>
      <protection hidden="1"/>
    </xf>
    <xf numFmtId="173" fontId="22" fillId="47" borderId="53" xfId="49" applyNumberFormat="1" applyFont="1" applyFill="1" applyBorder="1" applyAlignment="1" applyProtection="1">
      <alignment horizontal="left" vertical="center"/>
      <protection hidden="1"/>
    </xf>
    <xf numFmtId="173" fontId="22" fillId="47" borderId="52" xfId="49" applyNumberFormat="1" applyFont="1" applyFill="1" applyBorder="1" applyAlignment="1" applyProtection="1">
      <alignment horizontal="left" vertical="center"/>
      <protection hidden="1"/>
    </xf>
    <xf numFmtId="168" fontId="22" fillId="0" borderId="53" xfId="33" applyNumberFormat="1" applyFont="1" applyBorder="1" applyAlignment="1" applyProtection="1">
      <alignment horizontal="right" vertical="center" indent="2"/>
      <protection hidden="1"/>
    </xf>
    <xf numFmtId="168" fontId="22" fillId="0" borderId="84" xfId="33" applyNumberFormat="1" applyFont="1" applyBorder="1" applyAlignment="1" applyProtection="1">
      <alignment horizontal="right" vertical="center" indent="2"/>
      <protection hidden="1"/>
    </xf>
    <xf numFmtId="4" fontId="28" fillId="45" borderId="85" xfId="0" applyNumberFormat="1" applyFont="1" applyFill="1" applyBorder="1" applyAlignment="1" applyProtection="1">
      <alignment vertical="center"/>
      <protection hidden="1"/>
    </xf>
    <xf numFmtId="4" fontId="28" fillId="45" borderId="86" xfId="0" applyNumberFormat="1" applyFont="1" applyFill="1" applyBorder="1" applyAlignment="1" applyProtection="1">
      <alignment vertical="center"/>
      <protection hidden="1"/>
    </xf>
    <xf numFmtId="4" fontId="28" fillId="45" borderId="87" xfId="0" applyNumberFormat="1" applyFont="1" applyFill="1" applyBorder="1" applyAlignment="1" applyProtection="1">
      <alignment vertical="center"/>
      <protection hidden="1"/>
    </xf>
    <xf numFmtId="4" fontId="28" fillId="45" borderId="88" xfId="0" applyNumberFormat="1" applyFont="1" applyFill="1" applyBorder="1" applyAlignment="1" applyProtection="1">
      <alignment vertical="center"/>
      <protection hidden="1"/>
    </xf>
    <xf numFmtId="0" fontId="22" fillId="46" borderId="74" xfId="43" applyFont="1" applyFill="1" applyBorder="1" applyAlignment="1" applyProtection="1">
      <alignment vertical="center"/>
      <protection hidden="1"/>
    </xf>
    <xf numFmtId="0" fontId="22" fillId="46" borderId="89" xfId="43" applyFont="1" applyFill="1" applyBorder="1" applyAlignment="1" applyProtection="1">
      <alignment vertical="center"/>
      <protection hidden="1"/>
    </xf>
    <xf numFmtId="0" fontId="22" fillId="46" borderId="90" xfId="43" applyFont="1" applyFill="1" applyBorder="1" applyAlignment="1" applyProtection="1">
      <alignment vertical="center"/>
      <protection hidden="1"/>
    </xf>
    <xf numFmtId="0" fontId="22" fillId="46" borderId="32" xfId="43" applyFont="1" applyFill="1" applyBorder="1" applyAlignment="1" applyProtection="1">
      <alignment vertical="center"/>
      <protection hidden="1"/>
    </xf>
    <xf numFmtId="0" fontId="5" fillId="0" borderId="55" xfId="0" applyFont="1" applyBorder="1" applyAlignment="1" applyProtection="1">
      <alignment horizontal="center" vertical="center" wrapTex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4" fontId="22" fillId="29" borderId="91" xfId="0" applyNumberFormat="1" applyFont="1" applyFill="1" applyBorder="1" applyAlignment="1" applyProtection="1">
      <alignment vertical="center"/>
      <protection hidden="1"/>
    </xf>
    <xf numFmtId="4" fontId="22" fillId="29" borderId="92" xfId="0" applyNumberFormat="1" applyFont="1" applyFill="1" applyBorder="1" applyAlignment="1" applyProtection="1">
      <alignment vertical="center"/>
      <protection hidden="1"/>
    </xf>
    <xf numFmtId="4" fontId="22" fillId="29" borderId="93" xfId="0" applyNumberFormat="1" applyFont="1" applyFill="1" applyBorder="1" applyAlignment="1" applyProtection="1">
      <alignment vertical="center"/>
      <protection hidden="1"/>
    </xf>
    <xf numFmtId="4" fontId="22" fillId="29" borderId="94" xfId="0" applyNumberFormat="1" applyFont="1" applyFill="1" applyBorder="1" applyAlignment="1" applyProtection="1">
      <alignment vertical="center"/>
      <protection hidden="1"/>
    </xf>
    <xf numFmtId="0" fontId="5" fillId="0" borderId="95" xfId="0" applyFont="1" applyBorder="1" applyAlignment="1" applyProtection="1">
      <alignment vertical="center" wrapText="1"/>
      <protection hidden="1"/>
    </xf>
    <xf numFmtId="0" fontId="5" fillId="0" borderId="83" xfId="0" applyFont="1" applyBorder="1" applyAlignment="1" applyProtection="1">
      <alignment vertical="center" wrapText="1"/>
      <protection hidden="1"/>
    </xf>
    <xf numFmtId="0" fontId="5" fillId="0" borderId="83" xfId="0" applyFont="1" applyBorder="1" applyAlignment="1" applyProtection="1">
      <alignment vertical="center"/>
      <protection hidden="1"/>
    </xf>
    <xf numFmtId="0" fontId="5" fillId="0" borderId="96" xfId="0" applyFont="1" applyBorder="1" applyAlignment="1" applyProtection="1">
      <alignment vertical="center"/>
      <protection hidden="1"/>
    </xf>
    <xf numFmtId="0" fontId="5" fillId="0" borderId="97" xfId="0" applyFont="1" applyBorder="1" applyAlignment="1" applyProtection="1">
      <alignment vertical="center"/>
      <protection hidden="1"/>
    </xf>
    <xf numFmtId="0" fontId="5" fillId="0" borderId="98" xfId="0" applyFont="1" applyBorder="1" applyAlignment="1" applyProtection="1">
      <alignment vertical="center"/>
      <protection hidden="1"/>
    </xf>
    <xf numFmtId="0" fontId="5" fillId="0" borderId="54" xfId="0" applyFont="1" applyBorder="1" applyAlignment="1" applyProtection="1">
      <alignment vertical="center"/>
      <protection hidden="1"/>
    </xf>
    <xf numFmtId="0" fontId="5" fillId="0" borderId="26" xfId="0" applyFont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 horizontal="center"/>
      <protection hidden="1"/>
    </xf>
    <xf numFmtId="14" fontId="23" fillId="37" borderId="29" xfId="0" applyNumberFormat="1" applyFont="1" applyFill="1" applyBorder="1" applyAlignment="1" applyProtection="1">
      <alignment horizontal="center" vertical="center"/>
      <protection hidden="1"/>
    </xf>
    <xf numFmtId="14" fontId="23" fillId="37" borderId="31" xfId="0" applyNumberFormat="1" applyFont="1" applyFill="1" applyBorder="1" applyAlignment="1" applyProtection="1">
      <alignment horizontal="center" vertical="center"/>
      <protection hidden="1"/>
    </xf>
    <xf numFmtId="0" fontId="23" fillId="37" borderId="30" xfId="0" applyFont="1" applyFill="1" applyBorder="1" applyAlignment="1" applyProtection="1">
      <alignment horizontal="center" vertical="center"/>
      <protection hidden="1"/>
    </xf>
    <xf numFmtId="14" fontId="23" fillId="37" borderId="29" xfId="0" applyNumberFormat="1" applyFont="1" applyFill="1" applyBorder="1" applyAlignment="1" applyProtection="1">
      <alignment horizontal="center" vertical="center"/>
      <protection locked="0"/>
    </xf>
    <xf numFmtId="0" fontId="23" fillId="37" borderId="31" xfId="0" applyFont="1" applyFill="1" applyBorder="1" applyAlignment="1" applyProtection="1">
      <alignment horizontal="center" vertical="center"/>
      <protection locked="0"/>
    </xf>
    <xf numFmtId="0" fontId="23" fillId="37" borderId="30" xfId="0" applyFont="1" applyFill="1" applyBorder="1" applyAlignment="1" applyProtection="1">
      <alignment horizontal="center" vertical="center"/>
      <protection locked="0"/>
    </xf>
    <xf numFmtId="0" fontId="5" fillId="29" borderId="0" xfId="0" applyFont="1" applyFill="1" applyAlignment="1" applyProtection="1">
      <alignment horizontal="left" wrapText="1"/>
      <protection hidden="1"/>
    </xf>
    <xf numFmtId="180" fontId="8" fillId="0" borderId="0" xfId="0" applyNumberFormat="1" applyFont="1" applyFill="1" applyBorder="1" applyAlignment="1" applyProtection="1">
      <alignment horizontal="left" vertical="center"/>
      <protection hidden="1"/>
    </xf>
    <xf numFmtId="0" fontId="12" fillId="55" borderId="66" xfId="58" applyFont="1" applyFill="1" applyBorder="1" applyAlignment="1" applyProtection="1">
      <alignment vertical="center" wrapText="1"/>
      <protection hidden="1"/>
    </xf>
    <xf numFmtId="0" fontId="103" fillId="55" borderId="0" xfId="58" applyNumberFormat="1" applyFont="1" applyFill="1" applyBorder="1" applyAlignment="1" applyProtection="1">
      <alignment vertical="center"/>
      <protection hidden="1"/>
    </xf>
    <xf numFmtId="0" fontId="12" fillId="55" borderId="0" xfId="58" applyFont="1" applyFill="1" applyBorder="1" applyAlignment="1" applyProtection="1">
      <alignment vertical="center" wrapText="1"/>
      <protection hidden="1"/>
    </xf>
    <xf numFmtId="0" fontId="12" fillId="55" borderId="67" xfId="58" applyFont="1" applyFill="1" applyBorder="1" applyAlignment="1" applyProtection="1">
      <alignment vertical="center" wrapText="1"/>
      <protection hidden="1"/>
    </xf>
    <xf numFmtId="0" fontId="104" fillId="55" borderId="66" xfId="58" applyFont="1" applyFill="1" applyBorder="1" applyAlignment="1" applyProtection="1">
      <alignment vertical="center" wrapText="1"/>
      <protection hidden="1"/>
    </xf>
    <xf numFmtId="0" fontId="104" fillId="55" borderId="69" xfId="58" applyFont="1" applyFill="1" applyBorder="1" applyAlignment="1" applyProtection="1">
      <alignment vertical="center" wrapText="1"/>
      <protection hidden="1"/>
    </xf>
    <xf numFmtId="0" fontId="105" fillId="55" borderId="0" xfId="58" applyNumberFormat="1" applyFont="1" applyFill="1" applyBorder="1" applyAlignment="1" applyProtection="1">
      <alignment vertical="center"/>
      <protection hidden="1"/>
    </xf>
    <xf numFmtId="0" fontId="105" fillId="55" borderId="70" xfId="58" applyNumberFormat="1" applyFont="1" applyFill="1" applyBorder="1" applyAlignment="1" applyProtection="1">
      <alignment vertical="center"/>
      <protection hidden="1"/>
    </xf>
    <xf numFmtId="0" fontId="106" fillId="55" borderId="0" xfId="58" applyNumberFormat="1" applyFont="1" applyFill="1" applyBorder="1" applyAlignment="1" applyProtection="1">
      <alignment vertical="center" wrapText="1"/>
      <protection hidden="1"/>
    </xf>
    <xf numFmtId="0" fontId="106" fillId="55" borderId="67" xfId="58" applyNumberFormat="1" applyFont="1" applyFill="1" applyBorder="1" applyAlignment="1" applyProtection="1">
      <alignment vertical="center" wrapText="1"/>
      <protection hidden="1"/>
    </xf>
    <xf numFmtId="0" fontId="106" fillId="55" borderId="70" xfId="58" applyNumberFormat="1" applyFont="1" applyFill="1" applyBorder="1" applyAlignment="1" applyProtection="1">
      <alignment vertical="center" wrapText="1"/>
      <protection hidden="1"/>
    </xf>
    <xf numFmtId="0" fontId="106" fillId="55" borderId="71" xfId="58" applyNumberFormat="1" applyFont="1" applyFill="1" applyBorder="1" applyAlignment="1" applyProtection="1">
      <alignment vertical="center" wrapText="1"/>
      <protection hidden="1"/>
    </xf>
    <xf numFmtId="4" fontId="28" fillId="45" borderId="85" xfId="58" applyNumberFormat="1" applyFont="1" applyFill="1" applyBorder="1" applyAlignment="1" applyProtection="1">
      <alignment vertical="center"/>
      <protection hidden="1"/>
    </xf>
    <xf numFmtId="4" fontId="28" fillId="45" borderId="86" xfId="58" applyNumberFormat="1" applyFont="1" applyFill="1" applyBorder="1" applyAlignment="1" applyProtection="1">
      <alignment vertical="center"/>
      <protection hidden="1"/>
    </xf>
    <xf numFmtId="4" fontId="28" fillId="45" borderId="87" xfId="58" applyNumberFormat="1" applyFont="1" applyFill="1" applyBorder="1" applyAlignment="1" applyProtection="1">
      <alignment vertical="center"/>
      <protection hidden="1"/>
    </xf>
    <xf numFmtId="4" fontId="28" fillId="45" borderId="88" xfId="58" applyNumberFormat="1" applyFont="1" applyFill="1" applyBorder="1" applyAlignment="1" applyProtection="1">
      <alignment vertical="center"/>
      <protection hidden="1"/>
    </xf>
    <xf numFmtId="0" fontId="104" fillId="55" borderId="69" xfId="58" applyFont="1" applyFill="1" applyBorder="1" applyAlignment="1" applyProtection="1">
      <alignment vertical="center"/>
      <protection hidden="1"/>
    </xf>
    <xf numFmtId="4" fontId="22" fillId="29" borderId="91" xfId="58" applyNumberFormat="1" applyFont="1" applyFill="1" applyBorder="1" applyAlignment="1" applyProtection="1">
      <alignment vertical="center"/>
      <protection hidden="1"/>
    </xf>
    <xf numFmtId="4" fontId="22" fillId="29" borderId="92" xfId="58" applyNumberFormat="1" applyFont="1" applyFill="1" applyBorder="1" applyAlignment="1" applyProtection="1">
      <alignment vertical="center"/>
      <protection hidden="1"/>
    </xf>
    <xf numFmtId="4" fontId="22" fillId="29" borderId="93" xfId="58" applyNumberFormat="1" applyFont="1" applyFill="1" applyBorder="1" applyAlignment="1" applyProtection="1">
      <alignment vertical="center"/>
      <protection hidden="1"/>
    </xf>
    <xf numFmtId="4" fontId="22" fillId="29" borderId="94" xfId="58" applyNumberFormat="1" applyFont="1" applyFill="1" applyBorder="1" applyAlignment="1" applyProtection="1">
      <alignment vertical="center"/>
      <protection hidden="1"/>
    </xf>
    <xf numFmtId="14" fontId="23" fillId="37" borderId="29" xfId="58" applyNumberFormat="1" applyFont="1" applyFill="1" applyBorder="1" applyAlignment="1" applyProtection="1">
      <alignment horizontal="center" vertical="center"/>
      <protection hidden="1"/>
    </xf>
    <xf numFmtId="0" fontId="23" fillId="37" borderId="31" xfId="58" applyFont="1" applyFill="1" applyBorder="1" applyAlignment="1" applyProtection="1">
      <alignment horizontal="center" vertical="center"/>
      <protection hidden="1"/>
    </xf>
    <xf numFmtId="0" fontId="23" fillId="37" borderId="30" xfId="58" applyFont="1" applyFill="1" applyBorder="1" applyAlignment="1" applyProtection="1">
      <alignment horizontal="center" vertical="center"/>
      <protection hidden="1"/>
    </xf>
    <xf numFmtId="0" fontId="5" fillId="0" borderId="55" xfId="58" applyFont="1" applyBorder="1" applyAlignment="1" applyProtection="1">
      <alignment horizontal="center" vertical="center" wrapText="1"/>
      <protection hidden="1"/>
    </xf>
    <xf numFmtId="0" fontId="5" fillId="0" borderId="74" xfId="58" applyFont="1" applyBorder="1" applyAlignment="1" applyProtection="1">
      <alignment horizontal="center" vertical="center" wrapText="1"/>
      <protection hidden="1"/>
    </xf>
    <xf numFmtId="0" fontId="5" fillId="0" borderId="26" xfId="58" applyFont="1" applyBorder="1" applyAlignment="1" applyProtection="1">
      <alignment horizontal="center"/>
      <protection hidden="1"/>
    </xf>
    <xf numFmtId="0" fontId="5" fillId="0" borderId="27" xfId="58" applyFont="1" applyBorder="1" applyAlignment="1" applyProtection="1">
      <alignment horizontal="center"/>
      <protection hidden="1"/>
    </xf>
    <xf numFmtId="0" fontId="5" fillId="0" borderId="28" xfId="58" applyFont="1" applyBorder="1" applyAlignment="1" applyProtection="1">
      <alignment horizontal="center"/>
      <protection hidden="1"/>
    </xf>
    <xf numFmtId="14" fontId="23" fillId="37" borderId="31" xfId="58" applyNumberFormat="1" applyFont="1" applyFill="1" applyBorder="1" applyAlignment="1" applyProtection="1">
      <alignment horizontal="center" vertical="center"/>
      <protection hidden="1"/>
    </xf>
    <xf numFmtId="0" fontId="47" fillId="54" borderId="0" xfId="58" applyFont="1" applyFill="1" applyBorder="1" applyAlignment="1" applyProtection="1">
      <alignment horizontal="center" vertical="center"/>
      <protection hidden="1"/>
    </xf>
    <xf numFmtId="0" fontId="5" fillId="0" borderId="95" xfId="58" applyFont="1" applyBorder="1" applyAlignment="1" applyProtection="1">
      <alignment vertical="center" wrapText="1"/>
      <protection hidden="1"/>
    </xf>
    <xf numFmtId="0" fontId="5" fillId="0" borderId="83" xfId="58" applyFont="1" applyBorder="1" applyAlignment="1" applyProtection="1">
      <alignment vertical="center" wrapText="1"/>
      <protection hidden="1"/>
    </xf>
    <xf numFmtId="0" fontId="5" fillId="0" borderId="83" xfId="58" applyFont="1" applyBorder="1" applyAlignment="1" applyProtection="1">
      <alignment vertical="center"/>
      <protection hidden="1"/>
    </xf>
    <xf numFmtId="0" fontId="5" fillId="0" borderId="96" xfId="58" applyFont="1" applyBorder="1" applyAlignment="1" applyProtection="1">
      <alignment vertical="center"/>
      <protection hidden="1"/>
    </xf>
    <xf numFmtId="0" fontId="5" fillId="0" borderId="97" xfId="58" applyFont="1" applyBorder="1" applyAlignment="1" applyProtection="1">
      <alignment vertical="center"/>
      <protection hidden="1"/>
    </xf>
    <xf numFmtId="0" fontId="5" fillId="0" borderId="98" xfId="58" applyFont="1" applyBorder="1" applyAlignment="1" applyProtection="1">
      <alignment vertical="center"/>
      <protection hidden="1"/>
    </xf>
    <xf numFmtId="0" fontId="5" fillId="0" borderId="54" xfId="58" applyFont="1" applyBorder="1" applyAlignment="1" applyProtection="1">
      <alignment vertical="center"/>
      <protection hidden="1"/>
    </xf>
    <xf numFmtId="0" fontId="50" fillId="37" borderId="0" xfId="0" applyFont="1" applyFill="1" applyBorder="1" applyAlignment="1" applyProtection="1">
      <alignment vertical="center"/>
      <protection locked="0"/>
    </xf>
    <xf numFmtId="0" fontId="50" fillId="37" borderId="99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horizontal="justify"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52" fillId="0" borderId="0" xfId="0" applyFont="1" applyAlignment="1" applyProtection="1">
      <alignment vertical="top" wrapText="1"/>
      <protection hidden="1"/>
    </xf>
    <xf numFmtId="182" fontId="22" fillId="27" borderId="45" xfId="0" applyNumberFormat="1" applyFont="1" applyFill="1" applyBorder="1" applyAlignment="1" applyProtection="1">
      <alignment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bzug-Währung mit 2 Komma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Berechnung-Währung mit 2 Komma" xfId="42"/>
    <cellStyle name="Dateneingabe-Überschrift3" xfId="43"/>
    <cellStyle name="Comma [0]" xfId="44"/>
    <cellStyle name="Eingabe" xfId="45"/>
    <cellStyle name="Ergebnis" xfId="46"/>
    <cellStyle name="Erklärender Text" xfId="47"/>
    <cellStyle name="Formel-Fett" xfId="48"/>
    <cellStyle name="Formel-Rabatt-Prozent ohne Komma" xfId="49"/>
    <cellStyle name="Formel-Skonto-Prozent ohne Komma" xfId="50"/>
    <cellStyle name="Formel-Standard" xfId="51"/>
    <cellStyle name="Gut" xfId="52"/>
    <cellStyle name="Comma" xfId="53"/>
    <cellStyle name="Neutral" xfId="54"/>
    <cellStyle name="Notiz" xfId="55"/>
    <cellStyle name="Percent" xfId="56"/>
    <cellStyle name="Schlecht" xfId="57"/>
    <cellStyle name="Standard 2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7"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thin"/>
        <bottom style="hair"/>
      </border>
    </dxf>
    <dxf>
      <fill>
        <patternFill patternType="none">
          <bgColor indexed="65"/>
        </patternFill>
      </fill>
      <border>
        <left style="hair"/>
        <right style="thin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  <bottom style="hair"/>
      </border>
    </dxf>
    <dxf>
      <fill>
        <patternFill patternType="none">
          <bgColor indexed="65"/>
        </patternFill>
      </fill>
      <border>
        <left style="hair"/>
        <right style="thin"/>
        <bottom style="hair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</dxf>
    <dxf>
      <fill>
        <patternFill patternType="none">
          <bgColor indexed="65"/>
        </patternFill>
      </fill>
      <border>
        <left style="hair"/>
        <right style="thin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thin"/>
        <top style="hair"/>
        <bottom style="hair"/>
      </border>
    </dxf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  <bottom style="hair"/>
      </border>
    </dxf>
    <dxf>
      <fill>
        <patternFill patternType="none">
          <bgColor indexed="65"/>
        </patternFill>
      </fill>
      <border>
        <left style="hair"/>
        <right style="thin"/>
      </border>
    </dxf>
    <dxf>
      <fill>
        <patternFill patternType="none">
          <bgColor indexed="65"/>
        </patternFill>
      </fill>
      <border>
        <left style="hair"/>
        <right style="thin"/>
        <bottom style="hair"/>
      </border>
    </dxf>
    <dxf>
      <fill>
        <patternFill>
          <bgColor indexed="5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 style="hair">
          <color rgb="FF000000"/>
        </left>
        <right style="thin">
          <color rgb="FF000000"/>
        </right>
        <bottom style="hair">
          <color rgb="FF000000"/>
        </bottom>
      </border>
    </dxf>
    <dxf>
      <fill>
        <patternFill patternType="none">
          <bgColor indexed="65"/>
        </patternFill>
      </fill>
      <border>
        <left style="hair">
          <color rgb="FF000000"/>
        </left>
        <right style="thin">
          <color rgb="FF000000"/>
        </right>
      </border>
    </dxf>
    <dxf>
      <fill>
        <patternFill patternType="none">
          <bgColor indexed="65"/>
        </patternFill>
      </fill>
      <border>
        <left style="hair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ont>
        <b/>
        <i val="0"/>
        <color rgb="FFFF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E8A8"/>
      <rgbColor rgb="000000FF"/>
      <rgbColor rgb="00FFFF99"/>
      <rgbColor rgb="00FFE575"/>
      <rgbColor rgb="0000FFFF"/>
      <rgbColor rgb="00800000"/>
      <rgbColor rgb="00008000"/>
      <rgbColor rgb="00EAEAEA"/>
      <rgbColor rgb="00FFA623"/>
      <rgbColor rgb="00DBB7FF"/>
      <rgbColor rgb="00008080"/>
      <rgbColor rgb="00F5F5F5"/>
      <rgbColor rgb="00C8C8C8"/>
      <rgbColor rgb="008080FF"/>
      <rgbColor rgb="00802060"/>
      <rgbColor rgb="00FFFFD2"/>
      <rgbColor rgb="00A0E0E0"/>
      <rgbColor rgb="00600080"/>
      <rgbColor rgb="00FF8080"/>
      <rgbColor rgb="000080C0"/>
      <rgbColor rgb="00C0C0FF"/>
      <rgbColor rgb="00000080"/>
      <rgbColor rgb="00FF00FF"/>
      <rgbColor rgb="00FFFFE6"/>
      <rgbColor rgb="0000FFFF"/>
      <rgbColor rgb="00800080"/>
      <rgbColor rgb="00800000"/>
      <rgbColor rgb="00008080"/>
      <rgbColor rgb="000000FF"/>
      <rgbColor rgb="00B9CDE1"/>
      <rgbColor rgb="0069FFFF"/>
      <rgbColor rgb="00E7F4CE"/>
      <rgbColor rgb="00FFFFBE"/>
      <rgbColor rgb="00DCE6F0"/>
      <rgbColor rgb="00FFEFAB"/>
      <rgbColor rgb="00F7EFFF"/>
      <rgbColor rgb="00E3E3E3"/>
      <rgbColor rgb="0069B4FF"/>
      <rgbColor rgb="0033CCCC"/>
      <rgbColor rgb="00339933"/>
      <rgbColor rgb="00999933"/>
      <rgbColor rgb="00996633"/>
      <rgbColor rgb="00F4F0EA"/>
      <rgbColor rgb="00787878"/>
      <rgbColor rgb="00DCDCDC"/>
      <rgbColor rgb="003333CC"/>
      <rgbColor rgb="00BBD868"/>
      <rgbColor rgb="00003300"/>
      <rgbColor rgb="00C0C0C0"/>
      <rgbColor rgb="005F5F5F"/>
      <rgbColor rgb="00E9D3FF"/>
      <rgbColor rgb="008C8C8C"/>
      <rgbColor rgb="00AFAFA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Berechnung!K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Korrektur!A1" /><Relationship Id="rId2" Type="http://schemas.openxmlformats.org/officeDocument/2006/relationships/hyperlink" Target="#Dateneingabe!G5" /><Relationship Id="rId3" Type="http://schemas.openxmlformats.org/officeDocument/2006/relationships/hyperlink" Target="#Hilfe!AC5:AZ24" /><Relationship Id="rId4" Type="http://schemas.openxmlformats.org/officeDocument/2006/relationships/hyperlink" Target="#Hilfe!BC6:BZ2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G5" /><Relationship Id="rId2" Type="http://schemas.openxmlformats.org/officeDocument/2006/relationships/hyperlink" Target="#Berechnung!K7" /><Relationship Id="rId3" Type="http://schemas.openxmlformats.org/officeDocument/2006/relationships/hyperlink" Target="#Hilfe!AC5:AZ24" /><Relationship Id="rId4" Type="http://schemas.openxmlformats.org/officeDocument/2006/relationships/hyperlink" Target="#Berechnung!K21" /><Relationship Id="rId5" Type="http://schemas.openxmlformats.org/officeDocument/2006/relationships/hyperlink" Target="#Hilfe!BC6:BZ2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G5" /><Relationship Id="rId2" Type="http://schemas.openxmlformats.org/officeDocument/2006/relationships/hyperlink" Target="#Berechnung!K7" /><Relationship Id="rId3" Type="http://schemas.openxmlformats.org/officeDocument/2006/relationships/hyperlink" Target="#Korrektur!A1" /><Relationship Id="rId4" Type="http://schemas.openxmlformats.org/officeDocument/2006/relationships/hyperlink" Target="#Dateneingabe!G5" /><Relationship Id="rId5" Type="http://schemas.openxmlformats.org/officeDocument/2006/relationships/hyperlink" Target="#Berechnung!K21" /><Relationship Id="rId6" Type="http://schemas.openxmlformats.org/officeDocument/2006/relationships/hyperlink" Target="#Korrektu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19050</xdr:colOff>
      <xdr:row>15</xdr:row>
      <xdr:rowOff>9525</xdr:rowOff>
    </xdr:from>
    <xdr:to>
      <xdr:col>31</xdr:col>
      <xdr:colOff>3714750</xdr:colOff>
      <xdr:row>33</xdr:row>
      <xdr:rowOff>38100</xdr:rowOff>
    </xdr:to>
    <xdr:pic>
      <xdr:nvPicPr>
        <xdr:cNvPr id="1" name="Grafik 6"/>
        <xdr:cNvPicPr preferRelativeResize="1">
          <a:picLocks noChangeAspect="1"/>
        </xdr:cNvPicPr>
      </xdr:nvPicPr>
      <xdr:blipFill>
        <a:blip r:embed="rId1"/>
        <a:srcRect r="33866" b="5667"/>
        <a:stretch>
          <a:fillRect/>
        </a:stretch>
      </xdr:blipFill>
      <xdr:spPr>
        <a:xfrm>
          <a:off x="6257925" y="2886075"/>
          <a:ext cx="3695700" cy="2257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30</xdr:col>
      <xdr:colOff>85725</xdr:colOff>
      <xdr:row>1</xdr:row>
      <xdr:rowOff>76200</xdr:rowOff>
    </xdr:from>
    <xdr:to>
      <xdr:col>31</xdr:col>
      <xdr:colOff>1076325</xdr:colOff>
      <xdr:row>1</xdr:row>
      <xdr:rowOff>295275</xdr:rowOff>
    </xdr:to>
    <xdr:grpSp>
      <xdr:nvGrpSpPr>
        <xdr:cNvPr id="2" name="Group 1">
          <a:hlinkClick r:id="rId2"/>
        </xdr:cNvPr>
        <xdr:cNvGrpSpPr>
          <a:grpSpLocks/>
        </xdr:cNvGrpSpPr>
      </xdr:nvGrpSpPr>
      <xdr:grpSpPr>
        <a:xfrm>
          <a:off x="6143625" y="390525"/>
          <a:ext cx="1171575" cy="219075"/>
          <a:chOff x="376" y="330"/>
          <a:chExt cx="145" cy="22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3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381" y="333"/>
            <a:ext cx="13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►</a:t>
            </a:r>
          </a:p>
        </xdr:txBody>
      </xdr:sp>
    </xdr:grpSp>
    <xdr:clientData/>
  </xdr:twoCellAnchor>
  <xdr:twoCellAnchor>
    <xdr:from>
      <xdr:col>12</xdr:col>
      <xdr:colOff>457200</xdr:colOff>
      <xdr:row>1</xdr:row>
      <xdr:rowOff>76200</xdr:rowOff>
    </xdr:from>
    <xdr:to>
      <xdr:col>14</xdr:col>
      <xdr:colOff>104775</xdr:colOff>
      <xdr:row>1</xdr:row>
      <xdr:rowOff>295275</xdr:rowOff>
    </xdr:to>
    <xdr:grpSp>
      <xdr:nvGrpSpPr>
        <xdr:cNvPr id="6" name="Group 5"/>
        <xdr:cNvGrpSpPr>
          <a:grpSpLocks/>
        </xdr:cNvGrpSpPr>
      </xdr:nvGrpSpPr>
      <xdr:grpSpPr>
        <a:xfrm>
          <a:off x="5257800" y="390525"/>
          <a:ext cx="723900" cy="219075"/>
          <a:chOff x="459" y="8"/>
          <a:chExt cx="82" cy="23"/>
        </a:xfrm>
        <a:solidFill>
          <a:srgbClr val="FFFFFF"/>
        </a:solidFill>
      </xdr:grpSpPr>
      <xdr:sp macro="[0]!Neu_WES_Speisen">
        <xdr:nvSpPr>
          <xdr:cNvPr id="7" name="Rectangle 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8" name="Freeform 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9" name="Text Box 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Neu ...</a:t>
            </a:r>
          </a:p>
        </xdr:txBody>
      </xdr:sp>
    </xdr:grpSp>
    <xdr:clientData fPrintsWithSheet="0"/>
  </xdr:twoCellAnchor>
  <xdr:twoCellAnchor>
    <xdr:from>
      <xdr:col>9</xdr:col>
      <xdr:colOff>142875</xdr:colOff>
      <xdr:row>1</xdr:row>
      <xdr:rowOff>85725</xdr:rowOff>
    </xdr:from>
    <xdr:to>
      <xdr:col>12</xdr:col>
      <xdr:colOff>361950</xdr:colOff>
      <xdr:row>1</xdr:row>
      <xdr:rowOff>304800</xdr:rowOff>
    </xdr:to>
    <xdr:grpSp>
      <xdr:nvGrpSpPr>
        <xdr:cNvPr id="10" name="Group 9"/>
        <xdr:cNvGrpSpPr>
          <a:grpSpLocks/>
        </xdr:cNvGrpSpPr>
      </xdr:nvGrpSpPr>
      <xdr:grpSpPr>
        <a:xfrm>
          <a:off x="3990975" y="400050"/>
          <a:ext cx="1171575" cy="219075"/>
          <a:chOff x="459" y="8"/>
          <a:chExt cx="82" cy="23"/>
        </a:xfrm>
        <a:solidFill>
          <a:srgbClr val="FFFFFF"/>
        </a:solidFill>
      </xdr:grpSpPr>
      <xdr:sp macro="[0]!Nocheinmal_WES_Speisen">
        <xdr:nvSpPr>
          <xdr:cNvPr id="11" name="Rectangle 10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12" name="Freeform 11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13" name="Text Box 12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Noch einmal! ...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</xdr:row>
      <xdr:rowOff>95250</xdr:rowOff>
    </xdr:from>
    <xdr:to>
      <xdr:col>16</xdr:col>
      <xdr:colOff>1257300</xdr:colOff>
      <xdr:row>1</xdr:row>
      <xdr:rowOff>314325</xdr:rowOff>
    </xdr:to>
    <xdr:grpSp>
      <xdr:nvGrpSpPr>
        <xdr:cNvPr id="1" name="Group 3">
          <a:hlinkClick r:id="rId1"/>
        </xdr:cNvPr>
        <xdr:cNvGrpSpPr>
          <a:grpSpLocks/>
        </xdr:cNvGrpSpPr>
      </xdr:nvGrpSpPr>
      <xdr:grpSpPr>
        <a:xfrm>
          <a:off x="8048625" y="476250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610" y="215"/>
            <a:ext cx="7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Korrektur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►</a:t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0</xdr:row>
      <xdr:rowOff>85725</xdr:rowOff>
    </xdr:from>
    <xdr:to>
      <xdr:col>16</xdr:col>
      <xdr:colOff>1257300</xdr:colOff>
      <xdr:row>0</xdr:row>
      <xdr:rowOff>304800</xdr:rowOff>
    </xdr:to>
    <xdr:grpSp>
      <xdr:nvGrpSpPr>
        <xdr:cNvPr id="5" name="Group 7">
          <a:hlinkClick r:id="rId2"/>
        </xdr:cNvPr>
        <xdr:cNvGrpSpPr>
          <a:grpSpLocks/>
        </xdr:cNvGrpSpPr>
      </xdr:nvGrpSpPr>
      <xdr:grpSpPr>
        <a:xfrm>
          <a:off x="8048625" y="85725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6" name="Rectangle 8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638" y="276"/>
            <a:ext cx="1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15</xdr:col>
      <xdr:colOff>904875</xdr:colOff>
      <xdr:row>0</xdr:row>
      <xdr:rowOff>85725</xdr:rowOff>
    </xdr:from>
    <xdr:to>
      <xdr:col>15</xdr:col>
      <xdr:colOff>1628775</xdr:colOff>
      <xdr:row>0</xdr:row>
      <xdr:rowOff>304800</xdr:rowOff>
    </xdr:to>
    <xdr:grpSp>
      <xdr:nvGrpSpPr>
        <xdr:cNvPr id="9" name="Group 11"/>
        <xdr:cNvGrpSpPr>
          <a:grpSpLocks/>
        </xdr:cNvGrpSpPr>
      </xdr:nvGrpSpPr>
      <xdr:grpSpPr>
        <a:xfrm>
          <a:off x="7153275" y="85725"/>
          <a:ext cx="723900" cy="219075"/>
          <a:chOff x="459" y="8"/>
          <a:chExt cx="82" cy="23"/>
        </a:xfrm>
        <a:solidFill>
          <a:srgbClr val="FFFFFF"/>
        </a:solidFill>
      </xdr:grpSpPr>
      <xdr:sp macro="[0]!Neu_WES_Speisen">
        <xdr:nvSpPr>
          <xdr:cNvPr id="10" name="Rectangle 1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11" name="Freeform 1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12" name="Text Box 1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Neu ...</a:t>
            </a:r>
          </a:p>
        </xdr:txBody>
      </xdr:sp>
    </xdr:grpSp>
    <xdr:clientData fPrintsWithSheet="0"/>
  </xdr:twoCellAnchor>
  <xdr:twoCellAnchor>
    <xdr:from>
      <xdr:col>13</xdr:col>
      <xdr:colOff>228600</xdr:colOff>
      <xdr:row>0</xdr:row>
      <xdr:rowOff>85725</xdr:rowOff>
    </xdr:from>
    <xdr:to>
      <xdr:col>15</xdr:col>
      <xdr:colOff>771525</xdr:colOff>
      <xdr:row>0</xdr:row>
      <xdr:rowOff>304800</xdr:rowOff>
    </xdr:to>
    <xdr:grpSp>
      <xdr:nvGrpSpPr>
        <xdr:cNvPr id="13" name="Group 15"/>
        <xdr:cNvGrpSpPr>
          <a:grpSpLocks/>
        </xdr:cNvGrpSpPr>
      </xdr:nvGrpSpPr>
      <xdr:grpSpPr>
        <a:xfrm>
          <a:off x="5848350" y="85725"/>
          <a:ext cx="1171575" cy="219075"/>
          <a:chOff x="459" y="8"/>
          <a:chExt cx="82" cy="23"/>
        </a:xfrm>
        <a:solidFill>
          <a:srgbClr val="FFFFFF"/>
        </a:solidFill>
      </xdr:grpSpPr>
      <xdr:sp macro="[0]!Nocheinmal_WES_Speisen">
        <xdr:nvSpPr>
          <xdr:cNvPr id="14" name="Rectangle 1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15" name="Freeform 1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16" name="Text Box 1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Noch einmal! ...</a:t>
            </a:r>
          </a:p>
        </xdr:txBody>
      </xdr:sp>
    </xdr:grpSp>
    <xdr:clientData fPrintsWithSheet="0"/>
  </xdr:twoCellAnchor>
  <xdr:twoCellAnchor>
    <xdr:from>
      <xdr:col>16</xdr:col>
      <xdr:colOff>85725</xdr:colOff>
      <xdr:row>6</xdr:row>
      <xdr:rowOff>9525</xdr:rowOff>
    </xdr:from>
    <xdr:to>
      <xdr:col>16</xdr:col>
      <xdr:colOff>1257300</xdr:colOff>
      <xdr:row>7</xdr:row>
      <xdr:rowOff>19050</xdr:rowOff>
    </xdr:to>
    <xdr:grpSp>
      <xdr:nvGrpSpPr>
        <xdr:cNvPr id="17" name="Group 19">
          <a:hlinkClick r:id="rId3"/>
        </xdr:cNvPr>
        <xdr:cNvGrpSpPr>
          <a:grpSpLocks/>
        </xdr:cNvGrpSpPr>
      </xdr:nvGrpSpPr>
      <xdr:grpSpPr>
        <a:xfrm>
          <a:off x="8048625" y="2219325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18" name="Rectangle 2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21"/>
          <xdr:cNvSpPr txBox="1">
            <a:spLocks noChangeArrowheads="1"/>
          </xdr:cNvSpPr>
        </xdr:nvSpPr>
        <xdr:spPr>
          <a:xfrm>
            <a:off x="610" y="215"/>
            <a:ext cx="7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Gericht: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0" name="Freeform 2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16</xdr:col>
      <xdr:colOff>95250</xdr:colOff>
      <xdr:row>20</xdr:row>
      <xdr:rowOff>9525</xdr:rowOff>
    </xdr:from>
    <xdr:to>
      <xdr:col>16</xdr:col>
      <xdr:colOff>1266825</xdr:colOff>
      <xdr:row>21</xdr:row>
      <xdr:rowOff>19050</xdr:rowOff>
    </xdr:to>
    <xdr:grpSp>
      <xdr:nvGrpSpPr>
        <xdr:cNvPr id="21" name="Group 19">
          <a:hlinkClick r:id="rId4"/>
        </xdr:cNvPr>
        <xdr:cNvGrpSpPr>
          <a:grpSpLocks/>
        </xdr:cNvGrpSpPr>
      </xdr:nvGrpSpPr>
      <xdr:grpSpPr>
        <a:xfrm>
          <a:off x="8058150" y="5229225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22" name="Rectangle 2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1"/>
          <xdr:cNvSpPr txBox="1">
            <a:spLocks noChangeArrowheads="1"/>
          </xdr:cNvSpPr>
        </xdr:nvSpPr>
        <xdr:spPr>
          <a:xfrm>
            <a:off x="610" y="215"/>
            <a:ext cx="7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Beilage: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4" name="Freeform 2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76200</xdr:rowOff>
    </xdr:from>
    <xdr:to>
      <xdr:col>12</xdr:col>
      <xdr:colOff>190500</xdr:colOff>
      <xdr:row>1</xdr:row>
      <xdr:rowOff>295275</xdr:rowOff>
    </xdr:to>
    <xdr:grpSp>
      <xdr:nvGrpSpPr>
        <xdr:cNvPr id="1" name="Group 9"/>
        <xdr:cNvGrpSpPr>
          <a:grpSpLocks/>
        </xdr:cNvGrpSpPr>
      </xdr:nvGrpSpPr>
      <xdr:grpSpPr>
        <a:xfrm>
          <a:off x="5505450" y="457200"/>
          <a:ext cx="723900" cy="219075"/>
          <a:chOff x="459" y="8"/>
          <a:chExt cx="82" cy="23"/>
        </a:xfrm>
        <a:solidFill>
          <a:srgbClr val="FFFFFF"/>
        </a:solidFill>
      </xdr:grpSpPr>
      <xdr:sp macro="[0]!Neu_WES_Speisen">
        <xdr:nvSpPr>
          <xdr:cNvPr id="2" name="Rectangle 10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3" name="Freeform 11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4" name="Text Box 12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Neu ...</a:t>
            </a:r>
          </a:p>
        </xdr:txBody>
      </xdr:sp>
    </xdr:grpSp>
    <xdr:clientData fPrintsWithSheet="0"/>
  </xdr:twoCellAnchor>
  <xdr:twoCellAnchor>
    <xdr:from>
      <xdr:col>8</xdr:col>
      <xdr:colOff>552450</xdr:colOff>
      <xdr:row>0</xdr:row>
      <xdr:rowOff>95250</xdr:rowOff>
    </xdr:from>
    <xdr:to>
      <xdr:col>12</xdr:col>
      <xdr:colOff>190500</xdr:colOff>
      <xdr:row>0</xdr:row>
      <xdr:rowOff>314325</xdr:rowOff>
    </xdr:to>
    <xdr:grpSp>
      <xdr:nvGrpSpPr>
        <xdr:cNvPr id="5" name="Group 53"/>
        <xdr:cNvGrpSpPr>
          <a:grpSpLocks/>
        </xdr:cNvGrpSpPr>
      </xdr:nvGrpSpPr>
      <xdr:grpSpPr>
        <a:xfrm>
          <a:off x="5057775" y="95250"/>
          <a:ext cx="1171575" cy="219075"/>
          <a:chOff x="459" y="8"/>
          <a:chExt cx="82" cy="23"/>
        </a:xfrm>
        <a:solidFill>
          <a:srgbClr val="FFFFFF"/>
        </a:solidFill>
      </xdr:grpSpPr>
      <xdr:sp macro="[0]!Nocheinmal_WES_Speisen">
        <xdr:nvSpPr>
          <xdr:cNvPr id="6" name="Rectangle 54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7" name="Freeform 55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8" name="Text Box 56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Noch einmal! ...</a:t>
            </a:r>
          </a:p>
        </xdr:txBody>
      </xdr:sp>
    </xdr:grpSp>
    <xdr:clientData fPrintsWithSheet="0"/>
  </xdr:twoCellAnchor>
  <xdr:twoCellAnchor>
    <xdr:from>
      <xdr:col>13</xdr:col>
      <xdr:colOff>28575</xdr:colOff>
      <xdr:row>0</xdr:row>
      <xdr:rowOff>95250</xdr:rowOff>
    </xdr:from>
    <xdr:to>
      <xdr:col>15</xdr:col>
      <xdr:colOff>438150</xdr:colOff>
      <xdr:row>0</xdr:row>
      <xdr:rowOff>314325</xdr:rowOff>
    </xdr:to>
    <xdr:grpSp>
      <xdr:nvGrpSpPr>
        <xdr:cNvPr id="9" name="Group 1">
          <a:hlinkClick r:id="rId1"/>
        </xdr:cNvPr>
        <xdr:cNvGrpSpPr>
          <a:grpSpLocks/>
        </xdr:cNvGrpSpPr>
      </xdr:nvGrpSpPr>
      <xdr:grpSpPr>
        <a:xfrm>
          <a:off x="6315075" y="95250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10" name="Rectangle 2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3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Text Box 4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/>
  </xdr:twoCellAnchor>
  <xdr:twoCellAnchor>
    <xdr:from>
      <xdr:col>13</xdr:col>
      <xdr:colOff>47625</xdr:colOff>
      <xdr:row>10</xdr:row>
      <xdr:rowOff>142875</xdr:rowOff>
    </xdr:from>
    <xdr:to>
      <xdr:col>15</xdr:col>
      <xdr:colOff>457200</xdr:colOff>
      <xdr:row>11</xdr:row>
      <xdr:rowOff>171450</xdr:rowOff>
    </xdr:to>
    <xdr:grpSp>
      <xdr:nvGrpSpPr>
        <xdr:cNvPr id="13" name="Group 110">
          <a:hlinkClick r:id="rId2"/>
        </xdr:cNvPr>
        <xdr:cNvGrpSpPr>
          <a:grpSpLocks/>
        </xdr:cNvGrpSpPr>
      </xdr:nvGrpSpPr>
      <xdr:grpSpPr>
        <a:xfrm>
          <a:off x="6334125" y="1285875"/>
          <a:ext cx="1171575" cy="219075"/>
          <a:chOff x="690" y="221"/>
          <a:chExt cx="94" cy="19"/>
        </a:xfrm>
        <a:solidFill>
          <a:srgbClr val="FFFFFF"/>
        </a:solidFill>
      </xdr:grpSpPr>
      <xdr:sp>
        <xdr:nvSpPr>
          <xdr:cNvPr id="14" name="Rectangle 111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12"/>
          <xdr:cNvSpPr txBox="1">
            <a:spLocks noChangeArrowheads="1"/>
          </xdr:cNvSpPr>
        </xdr:nvSpPr>
        <xdr:spPr>
          <a:xfrm>
            <a:off x="693" y="223"/>
            <a:ext cx="88" cy="1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Gericht: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</a:p>
        </xdr:txBody>
      </xdr:sp>
      <xdr:sp>
        <xdr:nvSpPr>
          <xdr:cNvPr id="16" name="Freeform 113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12</xdr:row>
      <xdr:rowOff>114300</xdr:rowOff>
    </xdr:from>
    <xdr:to>
      <xdr:col>15</xdr:col>
      <xdr:colOff>457200</xdr:colOff>
      <xdr:row>13</xdr:row>
      <xdr:rowOff>142875</xdr:rowOff>
    </xdr:to>
    <xdr:grpSp>
      <xdr:nvGrpSpPr>
        <xdr:cNvPr id="17" name="Group 19">
          <a:hlinkClick r:id="rId3"/>
        </xdr:cNvPr>
        <xdr:cNvGrpSpPr>
          <a:grpSpLocks/>
        </xdr:cNvGrpSpPr>
      </xdr:nvGrpSpPr>
      <xdr:grpSpPr>
        <a:xfrm>
          <a:off x="6334125" y="1638300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18" name="Rectangle 2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Text Box 21"/>
          <xdr:cNvSpPr txBox="1">
            <a:spLocks noChangeArrowheads="1"/>
          </xdr:cNvSpPr>
        </xdr:nvSpPr>
        <xdr:spPr>
          <a:xfrm>
            <a:off x="610" y="215"/>
            <a:ext cx="7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Gericht: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0" name="Freeform 2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24</xdr:row>
      <xdr:rowOff>133350</xdr:rowOff>
    </xdr:from>
    <xdr:to>
      <xdr:col>15</xdr:col>
      <xdr:colOff>457200</xdr:colOff>
      <xdr:row>25</xdr:row>
      <xdr:rowOff>161925</xdr:rowOff>
    </xdr:to>
    <xdr:grpSp>
      <xdr:nvGrpSpPr>
        <xdr:cNvPr id="21" name="Group 110">
          <a:hlinkClick r:id="rId4"/>
        </xdr:cNvPr>
        <xdr:cNvGrpSpPr>
          <a:grpSpLocks/>
        </xdr:cNvGrpSpPr>
      </xdr:nvGrpSpPr>
      <xdr:grpSpPr>
        <a:xfrm>
          <a:off x="6334125" y="3962400"/>
          <a:ext cx="1171575" cy="219075"/>
          <a:chOff x="690" y="221"/>
          <a:chExt cx="94" cy="19"/>
        </a:xfrm>
        <a:solidFill>
          <a:srgbClr val="FFFFFF"/>
        </a:solidFill>
      </xdr:grpSpPr>
      <xdr:sp>
        <xdr:nvSpPr>
          <xdr:cNvPr id="22" name="Rectangle 111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112"/>
          <xdr:cNvSpPr txBox="1">
            <a:spLocks noChangeArrowheads="1"/>
          </xdr:cNvSpPr>
        </xdr:nvSpPr>
        <xdr:spPr>
          <a:xfrm>
            <a:off x="693" y="223"/>
            <a:ext cx="88" cy="1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Beilage: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</a:p>
        </xdr:txBody>
      </xdr:sp>
      <xdr:sp>
        <xdr:nvSpPr>
          <xdr:cNvPr id="24" name="Freeform 113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13</xdr:col>
      <xdr:colOff>47625</xdr:colOff>
      <xdr:row>26</xdr:row>
      <xdr:rowOff>104775</xdr:rowOff>
    </xdr:from>
    <xdr:to>
      <xdr:col>15</xdr:col>
      <xdr:colOff>457200</xdr:colOff>
      <xdr:row>27</xdr:row>
      <xdr:rowOff>133350</xdr:rowOff>
    </xdr:to>
    <xdr:grpSp>
      <xdr:nvGrpSpPr>
        <xdr:cNvPr id="25" name="Group 19">
          <a:hlinkClick r:id="rId5"/>
        </xdr:cNvPr>
        <xdr:cNvGrpSpPr>
          <a:grpSpLocks/>
        </xdr:cNvGrpSpPr>
      </xdr:nvGrpSpPr>
      <xdr:grpSpPr>
        <a:xfrm>
          <a:off x="6334125" y="4314825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26" name="Rectangle 2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Text Box 21"/>
          <xdr:cNvSpPr txBox="1">
            <a:spLocks noChangeArrowheads="1"/>
          </xdr:cNvSpPr>
        </xdr:nvSpPr>
        <xdr:spPr>
          <a:xfrm>
            <a:off x="610" y="215"/>
            <a:ext cx="78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Beilage: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1" i="0" u="none" baseline="0">
                <a:solidFill>
                  <a:srgbClr val="FFFFFF"/>
                </a:solidFill>
                <a:latin typeface="Arial Black"/>
                <a:ea typeface="Arial Black"/>
                <a:cs typeface="Arial Black"/>
              </a:rPr>
              <a:t>?</a:t>
            </a:r>
          </a:p>
        </xdr:txBody>
      </xdr:sp>
      <xdr:sp>
        <xdr:nvSpPr>
          <xdr:cNvPr id="28" name="Freeform 2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</xdr:row>
      <xdr:rowOff>28575</xdr:rowOff>
    </xdr:from>
    <xdr:to>
      <xdr:col>15</xdr:col>
      <xdr:colOff>114300</xdr:colOff>
      <xdr:row>6</xdr:row>
      <xdr:rowOff>57150</xdr:rowOff>
    </xdr:to>
    <xdr:sp>
      <xdr:nvSpPr>
        <xdr:cNvPr id="1" name="Freeform 58"/>
        <xdr:cNvSpPr>
          <a:spLocks/>
        </xdr:cNvSpPr>
      </xdr:nvSpPr>
      <xdr:spPr>
        <a:xfrm>
          <a:off x="4962525" y="1571625"/>
          <a:ext cx="1400175" cy="81915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6</xdr:row>
      <xdr:rowOff>28575</xdr:rowOff>
    </xdr:from>
    <xdr:to>
      <xdr:col>11</xdr:col>
      <xdr:colOff>104775</xdr:colOff>
      <xdr:row>17</xdr:row>
      <xdr:rowOff>161925</xdr:rowOff>
    </xdr:to>
    <xdr:sp>
      <xdr:nvSpPr>
        <xdr:cNvPr id="2" name="Freeform 59"/>
        <xdr:cNvSpPr>
          <a:spLocks/>
        </xdr:cNvSpPr>
      </xdr:nvSpPr>
      <xdr:spPr>
        <a:xfrm>
          <a:off x="4857750" y="2362200"/>
          <a:ext cx="104775" cy="2438400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16</xdr:col>
      <xdr:colOff>0</xdr:colOff>
      <xdr:row>19</xdr:row>
      <xdr:rowOff>28575</xdr:rowOff>
    </xdr:to>
    <xdr:sp>
      <xdr:nvSpPr>
        <xdr:cNvPr id="3" name="Freeform 58"/>
        <xdr:cNvSpPr>
          <a:spLocks/>
        </xdr:cNvSpPr>
      </xdr:nvSpPr>
      <xdr:spPr>
        <a:xfrm flipV="1">
          <a:off x="4857750" y="493395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28575</xdr:rowOff>
    </xdr:from>
    <xdr:to>
      <xdr:col>16</xdr:col>
      <xdr:colOff>0</xdr:colOff>
      <xdr:row>30</xdr:row>
      <xdr:rowOff>9525</xdr:rowOff>
    </xdr:to>
    <xdr:sp>
      <xdr:nvSpPr>
        <xdr:cNvPr id="4" name="Freeform 58"/>
        <xdr:cNvSpPr>
          <a:spLocks/>
        </xdr:cNvSpPr>
      </xdr:nvSpPr>
      <xdr:spPr>
        <a:xfrm>
          <a:off x="4962525" y="6762750"/>
          <a:ext cx="1400175" cy="60960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11</xdr:col>
      <xdr:colOff>114300</xdr:colOff>
      <xdr:row>40</xdr:row>
      <xdr:rowOff>161925</xdr:rowOff>
    </xdr:to>
    <xdr:sp>
      <xdr:nvSpPr>
        <xdr:cNvPr id="5" name="Freeform 59"/>
        <xdr:cNvSpPr>
          <a:spLocks/>
        </xdr:cNvSpPr>
      </xdr:nvSpPr>
      <xdr:spPr>
        <a:xfrm>
          <a:off x="4867275" y="7400925"/>
          <a:ext cx="104775" cy="2257425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85725</xdr:rowOff>
    </xdr:from>
    <xdr:to>
      <xdr:col>16</xdr:col>
      <xdr:colOff>0</xdr:colOff>
      <xdr:row>42</xdr:row>
      <xdr:rowOff>28575</xdr:rowOff>
    </xdr:to>
    <xdr:sp>
      <xdr:nvSpPr>
        <xdr:cNvPr id="6" name="Freeform 58"/>
        <xdr:cNvSpPr>
          <a:spLocks/>
        </xdr:cNvSpPr>
      </xdr:nvSpPr>
      <xdr:spPr>
        <a:xfrm flipV="1">
          <a:off x="4857750" y="979170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104775</xdr:colOff>
      <xdr:row>4</xdr:row>
      <xdr:rowOff>28575</xdr:rowOff>
    </xdr:from>
    <xdr:to>
      <xdr:col>43</xdr:col>
      <xdr:colOff>114300</xdr:colOff>
      <xdr:row>6</xdr:row>
      <xdr:rowOff>57150</xdr:rowOff>
    </xdr:to>
    <xdr:sp>
      <xdr:nvSpPr>
        <xdr:cNvPr id="7" name="Freeform 58"/>
        <xdr:cNvSpPr>
          <a:spLocks/>
        </xdr:cNvSpPr>
      </xdr:nvSpPr>
      <xdr:spPr>
        <a:xfrm>
          <a:off x="20754975" y="1571625"/>
          <a:ext cx="1400175" cy="81915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514350</xdr:colOff>
      <xdr:row>6</xdr:row>
      <xdr:rowOff>28575</xdr:rowOff>
    </xdr:from>
    <xdr:to>
      <xdr:col>39</xdr:col>
      <xdr:colOff>104775</xdr:colOff>
      <xdr:row>17</xdr:row>
      <xdr:rowOff>161925</xdr:rowOff>
    </xdr:to>
    <xdr:sp>
      <xdr:nvSpPr>
        <xdr:cNvPr id="8" name="Freeform 59"/>
        <xdr:cNvSpPr>
          <a:spLocks/>
        </xdr:cNvSpPr>
      </xdr:nvSpPr>
      <xdr:spPr>
        <a:xfrm>
          <a:off x="20650200" y="2362200"/>
          <a:ext cx="104775" cy="2438400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85725</xdr:rowOff>
    </xdr:from>
    <xdr:to>
      <xdr:col>44</xdr:col>
      <xdr:colOff>0</xdr:colOff>
      <xdr:row>19</xdr:row>
      <xdr:rowOff>28575</xdr:rowOff>
    </xdr:to>
    <xdr:sp>
      <xdr:nvSpPr>
        <xdr:cNvPr id="9" name="Freeform 58"/>
        <xdr:cNvSpPr>
          <a:spLocks/>
        </xdr:cNvSpPr>
      </xdr:nvSpPr>
      <xdr:spPr>
        <a:xfrm flipV="1">
          <a:off x="20650200" y="493395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104775</xdr:colOff>
      <xdr:row>5</xdr:row>
      <xdr:rowOff>28575</xdr:rowOff>
    </xdr:from>
    <xdr:to>
      <xdr:col>70</xdr:col>
      <xdr:colOff>0</xdr:colOff>
      <xdr:row>6</xdr:row>
      <xdr:rowOff>47625</xdr:rowOff>
    </xdr:to>
    <xdr:sp>
      <xdr:nvSpPr>
        <xdr:cNvPr id="10" name="Freeform 58"/>
        <xdr:cNvSpPr>
          <a:spLocks/>
        </xdr:cNvSpPr>
      </xdr:nvSpPr>
      <xdr:spPr>
        <a:xfrm>
          <a:off x="33575625" y="2076450"/>
          <a:ext cx="1400175" cy="30480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9525</xdr:colOff>
      <xdr:row>6</xdr:row>
      <xdr:rowOff>38100</xdr:rowOff>
    </xdr:from>
    <xdr:to>
      <xdr:col>65</xdr:col>
      <xdr:colOff>114300</xdr:colOff>
      <xdr:row>16</xdr:row>
      <xdr:rowOff>161925</xdr:rowOff>
    </xdr:to>
    <xdr:sp>
      <xdr:nvSpPr>
        <xdr:cNvPr id="11" name="Freeform 59"/>
        <xdr:cNvSpPr>
          <a:spLocks/>
        </xdr:cNvSpPr>
      </xdr:nvSpPr>
      <xdr:spPr>
        <a:xfrm>
          <a:off x="33480375" y="2371725"/>
          <a:ext cx="104775" cy="2219325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65</xdr:col>
      <xdr:colOff>0</xdr:colOff>
      <xdr:row>17</xdr:row>
      <xdr:rowOff>66675</xdr:rowOff>
    </xdr:from>
    <xdr:to>
      <xdr:col>70</xdr:col>
      <xdr:colOff>0</xdr:colOff>
      <xdr:row>20</xdr:row>
      <xdr:rowOff>28575</xdr:rowOff>
    </xdr:to>
    <xdr:sp>
      <xdr:nvSpPr>
        <xdr:cNvPr id="12" name="Freeform 58"/>
        <xdr:cNvSpPr>
          <a:spLocks/>
        </xdr:cNvSpPr>
      </xdr:nvSpPr>
      <xdr:spPr>
        <a:xfrm flipV="1">
          <a:off x="33470850" y="4705350"/>
          <a:ext cx="1504950" cy="59055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28575</xdr:rowOff>
    </xdr:from>
    <xdr:to>
      <xdr:col>15</xdr:col>
      <xdr:colOff>114300</xdr:colOff>
      <xdr:row>6</xdr:row>
      <xdr:rowOff>57150</xdr:rowOff>
    </xdr:to>
    <xdr:sp>
      <xdr:nvSpPr>
        <xdr:cNvPr id="13" name="Freeform 58"/>
        <xdr:cNvSpPr>
          <a:spLocks/>
        </xdr:cNvSpPr>
      </xdr:nvSpPr>
      <xdr:spPr>
        <a:xfrm>
          <a:off x="4962525" y="1571625"/>
          <a:ext cx="1400175" cy="81915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6</xdr:row>
      <xdr:rowOff>28575</xdr:rowOff>
    </xdr:from>
    <xdr:to>
      <xdr:col>11</xdr:col>
      <xdr:colOff>104775</xdr:colOff>
      <xdr:row>17</xdr:row>
      <xdr:rowOff>161925</xdr:rowOff>
    </xdr:to>
    <xdr:sp>
      <xdr:nvSpPr>
        <xdr:cNvPr id="14" name="Freeform 59"/>
        <xdr:cNvSpPr>
          <a:spLocks/>
        </xdr:cNvSpPr>
      </xdr:nvSpPr>
      <xdr:spPr>
        <a:xfrm>
          <a:off x="4857750" y="2362200"/>
          <a:ext cx="104775" cy="2438400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16</xdr:col>
      <xdr:colOff>0</xdr:colOff>
      <xdr:row>19</xdr:row>
      <xdr:rowOff>28575</xdr:rowOff>
    </xdr:to>
    <xdr:sp>
      <xdr:nvSpPr>
        <xdr:cNvPr id="15" name="Freeform 58"/>
        <xdr:cNvSpPr>
          <a:spLocks/>
        </xdr:cNvSpPr>
      </xdr:nvSpPr>
      <xdr:spPr>
        <a:xfrm flipV="1">
          <a:off x="4857750" y="493395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28575</xdr:rowOff>
    </xdr:from>
    <xdr:to>
      <xdr:col>16</xdr:col>
      <xdr:colOff>0</xdr:colOff>
      <xdr:row>30</xdr:row>
      <xdr:rowOff>9525</xdr:rowOff>
    </xdr:to>
    <xdr:sp>
      <xdr:nvSpPr>
        <xdr:cNvPr id="16" name="Freeform 58"/>
        <xdr:cNvSpPr>
          <a:spLocks/>
        </xdr:cNvSpPr>
      </xdr:nvSpPr>
      <xdr:spPr>
        <a:xfrm>
          <a:off x="4962525" y="6762750"/>
          <a:ext cx="1400175" cy="60960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11</xdr:col>
      <xdr:colOff>114300</xdr:colOff>
      <xdr:row>40</xdr:row>
      <xdr:rowOff>161925</xdr:rowOff>
    </xdr:to>
    <xdr:sp>
      <xdr:nvSpPr>
        <xdr:cNvPr id="17" name="Freeform 59"/>
        <xdr:cNvSpPr>
          <a:spLocks/>
        </xdr:cNvSpPr>
      </xdr:nvSpPr>
      <xdr:spPr>
        <a:xfrm>
          <a:off x="4867275" y="7400925"/>
          <a:ext cx="104775" cy="2257425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85725</xdr:rowOff>
    </xdr:from>
    <xdr:to>
      <xdr:col>16</xdr:col>
      <xdr:colOff>0</xdr:colOff>
      <xdr:row>42</xdr:row>
      <xdr:rowOff>28575</xdr:rowOff>
    </xdr:to>
    <xdr:sp>
      <xdr:nvSpPr>
        <xdr:cNvPr id="18" name="Freeform 58"/>
        <xdr:cNvSpPr>
          <a:spLocks/>
        </xdr:cNvSpPr>
      </xdr:nvSpPr>
      <xdr:spPr>
        <a:xfrm flipV="1">
          <a:off x="4857750" y="979170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4</xdr:row>
      <xdr:rowOff>28575</xdr:rowOff>
    </xdr:from>
    <xdr:to>
      <xdr:col>15</xdr:col>
      <xdr:colOff>114300</xdr:colOff>
      <xdr:row>6</xdr:row>
      <xdr:rowOff>57150</xdr:rowOff>
    </xdr:to>
    <xdr:sp>
      <xdr:nvSpPr>
        <xdr:cNvPr id="19" name="Freeform 58"/>
        <xdr:cNvSpPr>
          <a:spLocks/>
        </xdr:cNvSpPr>
      </xdr:nvSpPr>
      <xdr:spPr>
        <a:xfrm>
          <a:off x="4962525" y="1571625"/>
          <a:ext cx="1400175" cy="81915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514350</xdr:colOff>
      <xdr:row>6</xdr:row>
      <xdr:rowOff>28575</xdr:rowOff>
    </xdr:from>
    <xdr:to>
      <xdr:col>11</xdr:col>
      <xdr:colOff>104775</xdr:colOff>
      <xdr:row>17</xdr:row>
      <xdr:rowOff>161925</xdr:rowOff>
    </xdr:to>
    <xdr:sp>
      <xdr:nvSpPr>
        <xdr:cNvPr id="20" name="Freeform 59"/>
        <xdr:cNvSpPr>
          <a:spLocks/>
        </xdr:cNvSpPr>
      </xdr:nvSpPr>
      <xdr:spPr>
        <a:xfrm>
          <a:off x="4857750" y="2362200"/>
          <a:ext cx="104775" cy="2438400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85725</xdr:rowOff>
    </xdr:from>
    <xdr:to>
      <xdr:col>16</xdr:col>
      <xdr:colOff>0</xdr:colOff>
      <xdr:row>19</xdr:row>
      <xdr:rowOff>28575</xdr:rowOff>
    </xdr:to>
    <xdr:sp>
      <xdr:nvSpPr>
        <xdr:cNvPr id="21" name="Freeform 58"/>
        <xdr:cNvSpPr>
          <a:spLocks/>
        </xdr:cNvSpPr>
      </xdr:nvSpPr>
      <xdr:spPr>
        <a:xfrm flipV="1">
          <a:off x="4857750" y="493395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28575</xdr:rowOff>
    </xdr:from>
    <xdr:to>
      <xdr:col>16</xdr:col>
      <xdr:colOff>0</xdr:colOff>
      <xdr:row>30</xdr:row>
      <xdr:rowOff>9525</xdr:rowOff>
    </xdr:to>
    <xdr:sp>
      <xdr:nvSpPr>
        <xdr:cNvPr id="22" name="Freeform 58"/>
        <xdr:cNvSpPr>
          <a:spLocks/>
        </xdr:cNvSpPr>
      </xdr:nvSpPr>
      <xdr:spPr>
        <a:xfrm>
          <a:off x="4962525" y="6762750"/>
          <a:ext cx="1400175" cy="609600"/>
        </a:xfrm>
        <a:custGeom>
          <a:pathLst>
            <a:path h="5744" w="16570">
              <a:moveTo>
                <a:pt x="16570" y="0"/>
              </a:moveTo>
              <a:lnTo>
                <a:pt x="7809" y="1"/>
              </a:lnTo>
              <a:lnTo>
                <a:pt x="7809" y="5744"/>
              </a:lnTo>
              <a:lnTo>
                <a:pt x="0" y="5744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30</xdr:row>
      <xdr:rowOff>38100</xdr:rowOff>
    </xdr:from>
    <xdr:to>
      <xdr:col>11</xdr:col>
      <xdr:colOff>114300</xdr:colOff>
      <xdr:row>40</xdr:row>
      <xdr:rowOff>161925</xdr:rowOff>
    </xdr:to>
    <xdr:sp>
      <xdr:nvSpPr>
        <xdr:cNvPr id="23" name="Freeform 59"/>
        <xdr:cNvSpPr>
          <a:spLocks/>
        </xdr:cNvSpPr>
      </xdr:nvSpPr>
      <xdr:spPr>
        <a:xfrm>
          <a:off x="4867275" y="7400925"/>
          <a:ext cx="104775" cy="2257425"/>
        </a:xfrm>
        <a:custGeom>
          <a:pathLst>
            <a:path h="231" w="16">
              <a:moveTo>
                <a:pt x="0" y="0"/>
              </a:moveTo>
              <a:lnTo>
                <a:pt x="16" y="0"/>
              </a:lnTo>
              <a:lnTo>
                <a:pt x="16" y="231"/>
              </a:lnTo>
              <a:lnTo>
                <a:pt x="0" y="231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41</xdr:row>
      <xdr:rowOff>85725</xdr:rowOff>
    </xdr:from>
    <xdr:to>
      <xdr:col>16</xdr:col>
      <xdr:colOff>0</xdr:colOff>
      <xdr:row>42</xdr:row>
      <xdr:rowOff>28575</xdr:rowOff>
    </xdr:to>
    <xdr:sp>
      <xdr:nvSpPr>
        <xdr:cNvPr id="24" name="Freeform 58"/>
        <xdr:cNvSpPr>
          <a:spLocks/>
        </xdr:cNvSpPr>
      </xdr:nvSpPr>
      <xdr:spPr>
        <a:xfrm flipV="1">
          <a:off x="4857750" y="9791700"/>
          <a:ext cx="1504950" cy="152400"/>
        </a:xfrm>
        <a:custGeom>
          <a:pathLst>
            <a:path h="10000" w="9234">
              <a:moveTo>
                <a:pt x="9234" y="0"/>
              </a:moveTo>
              <a:lnTo>
                <a:pt x="4713" y="2"/>
              </a:lnTo>
              <a:lnTo>
                <a:pt x="4713" y="10000"/>
              </a:lnTo>
              <a:lnTo>
                <a:pt x="0" y="10000"/>
              </a:lnTo>
            </a:path>
          </a:pathLst>
        </a:custGeom>
        <a:noFill/>
        <a:ln w="57150" cmpd="sng">
          <a:solidFill>
            <a:srgbClr val="D5EBA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44</xdr:col>
      <xdr:colOff>9525</xdr:colOff>
      <xdr:row>1</xdr:row>
      <xdr:rowOff>133350</xdr:rowOff>
    </xdr:from>
    <xdr:to>
      <xdr:col>46</xdr:col>
      <xdr:colOff>304800</xdr:colOff>
      <xdr:row>1</xdr:row>
      <xdr:rowOff>352425</xdr:rowOff>
    </xdr:to>
    <xdr:grpSp>
      <xdr:nvGrpSpPr>
        <xdr:cNvPr id="25" name="Group 102">
          <a:hlinkClick r:id="rId1"/>
        </xdr:cNvPr>
        <xdr:cNvGrpSpPr>
          <a:grpSpLocks/>
        </xdr:cNvGrpSpPr>
      </xdr:nvGrpSpPr>
      <xdr:grpSpPr>
        <a:xfrm>
          <a:off x="22164675" y="514350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26" name="Rectangle 103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104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105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 fPrintsWithSheet="0"/>
  </xdr:twoCellAnchor>
  <xdr:twoCellAnchor>
    <xdr:from>
      <xdr:col>46</xdr:col>
      <xdr:colOff>438150</xdr:colOff>
      <xdr:row>1</xdr:row>
      <xdr:rowOff>133350</xdr:rowOff>
    </xdr:from>
    <xdr:to>
      <xdr:col>48</xdr:col>
      <xdr:colOff>781050</xdr:colOff>
      <xdr:row>1</xdr:row>
      <xdr:rowOff>352425</xdr:rowOff>
    </xdr:to>
    <xdr:grpSp>
      <xdr:nvGrpSpPr>
        <xdr:cNvPr id="29" name="Group 110">
          <a:hlinkClick r:id="rId2"/>
        </xdr:cNvPr>
        <xdr:cNvGrpSpPr>
          <a:grpSpLocks/>
        </xdr:cNvGrpSpPr>
      </xdr:nvGrpSpPr>
      <xdr:grpSpPr>
        <a:xfrm>
          <a:off x="23469600" y="514350"/>
          <a:ext cx="1171575" cy="219075"/>
          <a:chOff x="690" y="221"/>
          <a:chExt cx="94" cy="19"/>
        </a:xfrm>
        <a:solidFill>
          <a:srgbClr val="FFFFFF"/>
        </a:solidFill>
      </xdr:grpSpPr>
      <xdr:sp>
        <xdr:nvSpPr>
          <xdr:cNvPr id="30" name="Rectangle 111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Text Box 112"/>
          <xdr:cNvSpPr txBox="1">
            <a:spLocks noChangeArrowheads="1"/>
          </xdr:cNvSpPr>
        </xdr:nvSpPr>
        <xdr:spPr>
          <a:xfrm>
            <a:off x="693" y="223"/>
            <a:ext cx="88" cy="1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Gericht: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</a:p>
        </xdr:txBody>
      </xdr:sp>
      <xdr:sp>
        <xdr:nvSpPr>
          <xdr:cNvPr id="32" name="Freeform 113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1</xdr:row>
      <xdr:rowOff>133350</xdr:rowOff>
    </xdr:from>
    <xdr:to>
      <xdr:col>50</xdr:col>
      <xdr:colOff>123825</xdr:colOff>
      <xdr:row>1</xdr:row>
      <xdr:rowOff>352425</xdr:rowOff>
    </xdr:to>
    <xdr:grpSp>
      <xdr:nvGrpSpPr>
        <xdr:cNvPr id="33" name="Group 118">
          <a:hlinkClick r:id="rId3"/>
        </xdr:cNvPr>
        <xdr:cNvGrpSpPr>
          <a:grpSpLocks/>
        </xdr:cNvGrpSpPr>
      </xdr:nvGrpSpPr>
      <xdr:grpSpPr>
        <a:xfrm>
          <a:off x="24907875" y="514350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34" name="Rectangle 119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Text Box 120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Korrektur</a:t>
            </a:r>
          </a:p>
        </xdr:txBody>
      </xdr:sp>
      <xdr:sp>
        <xdr:nvSpPr>
          <xdr:cNvPr id="36" name="Freeform 121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1</xdr:row>
      <xdr:rowOff>133350</xdr:rowOff>
    </xdr:from>
    <xdr:to>
      <xdr:col>72</xdr:col>
      <xdr:colOff>276225</xdr:colOff>
      <xdr:row>1</xdr:row>
      <xdr:rowOff>352425</xdr:rowOff>
    </xdr:to>
    <xdr:grpSp>
      <xdr:nvGrpSpPr>
        <xdr:cNvPr id="37" name="Group 102">
          <a:hlinkClick r:id="rId4"/>
        </xdr:cNvPr>
        <xdr:cNvGrpSpPr>
          <a:grpSpLocks/>
        </xdr:cNvGrpSpPr>
      </xdr:nvGrpSpPr>
      <xdr:grpSpPr>
        <a:xfrm>
          <a:off x="34956750" y="514350"/>
          <a:ext cx="1171575" cy="219075"/>
          <a:chOff x="634" y="273"/>
          <a:chExt cx="123" cy="23"/>
        </a:xfrm>
        <a:solidFill>
          <a:srgbClr val="FFFFFF"/>
        </a:solidFill>
      </xdr:grpSpPr>
      <xdr:sp>
        <xdr:nvSpPr>
          <xdr:cNvPr id="38" name="Rectangle 103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104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Text Box 105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 fPrintsWithSheet="0"/>
  </xdr:twoCellAnchor>
  <xdr:twoCellAnchor>
    <xdr:from>
      <xdr:col>72</xdr:col>
      <xdr:colOff>409575</xdr:colOff>
      <xdr:row>1</xdr:row>
      <xdr:rowOff>133350</xdr:rowOff>
    </xdr:from>
    <xdr:to>
      <xdr:col>74</xdr:col>
      <xdr:colOff>752475</xdr:colOff>
      <xdr:row>1</xdr:row>
      <xdr:rowOff>352425</xdr:rowOff>
    </xdr:to>
    <xdr:grpSp>
      <xdr:nvGrpSpPr>
        <xdr:cNvPr id="41" name="Group 110">
          <a:hlinkClick r:id="rId5"/>
        </xdr:cNvPr>
        <xdr:cNvGrpSpPr>
          <a:grpSpLocks/>
        </xdr:cNvGrpSpPr>
      </xdr:nvGrpSpPr>
      <xdr:grpSpPr>
        <a:xfrm>
          <a:off x="36261675" y="514350"/>
          <a:ext cx="1171575" cy="219075"/>
          <a:chOff x="690" y="221"/>
          <a:chExt cx="94" cy="19"/>
        </a:xfrm>
        <a:solidFill>
          <a:srgbClr val="FFFFFF"/>
        </a:solidFill>
      </xdr:grpSpPr>
      <xdr:sp>
        <xdr:nvSpPr>
          <xdr:cNvPr id="42" name="Rectangle 111"/>
          <xdr:cNvSpPr>
            <a:spLocks/>
          </xdr:cNvSpPr>
        </xdr:nvSpPr>
        <xdr:spPr>
          <a:xfrm>
            <a:off x="690" y="221"/>
            <a:ext cx="94" cy="19"/>
          </a:xfrm>
          <a:prstGeom prst="rect">
            <a:avLst/>
          </a:prstGeom>
          <a:solidFill>
            <a:srgbClr val="FF00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Text Box 112"/>
          <xdr:cNvSpPr txBox="1">
            <a:spLocks noChangeArrowheads="1"/>
          </xdr:cNvSpPr>
        </xdr:nvSpPr>
        <xdr:spPr>
          <a:xfrm>
            <a:off x="693" y="223"/>
            <a:ext cx="88" cy="1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Beilage: </a:t>
            </a:r>
            <a:r>
              <a: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€ ges.</a:t>
            </a:r>
          </a:p>
        </xdr:txBody>
      </xdr:sp>
      <xdr:sp>
        <xdr:nvSpPr>
          <xdr:cNvPr id="44" name="Freeform 113"/>
          <xdr:cNvSpPr>
            <a:spLocks/>
          </xdr:cNvSpPr>
        </xdr:nvSpPr>
        <xdr:spPr>
          <a:xfrm>
            <a:off x="690" y="221"/>
            <a:ext cx="94" cy="19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1</xdr:row>
      <xdr:rowOff>133350</xdr:rowOff>
    </xdr:from>
    <xdr:to>
      <xdr:col>76</xdr:col>
      <xdr:colOff>123825</xdr:colOff>
      <xdr:row>1</xdr:row>
      <xdr:rowOff>352425</xdr:rowOff>
    </xdr:to>
    <xdr:grpSp>
      <xdr:nvGrpSpPr>
        <xdr:cNvPr id="45" name="Group 118">
          <a:hlinkClick r:id="rId6"/>
        </xdr:cNvPr>
        <xdr:cNvGrpSpPr>
          <a:grpSpLocks/>
        </xdr:cNvGrpSpPr>
      </xdr:nvGrpSpPr>
      <xdr:grpSpPr>
        <a:xfrm>
          <a:off x="37728525" y="514350"/>
          <a:ext cx="1171575" cy="219075"/>
          <a:chOff x="607" y="213"/>
          <a:chExt cx="85" cy="23"/>
        </a:xfrm>
        <a:solidFill>
          <a:srgbClr val="FFFFFF"/>
        </a:solidFill>
      </xdr:grpSpPr>
      <xdr:sp>
        <xdr:nvSpPr>
          <xdr:cNvPr id="46" name="Rectangle 119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Text Box 120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Korrektur</a:t>
            </a:r>
          </a:p>
        </xdr:txBody>
      </xdr:sp>
      <xdr:sp>
        <xdr:nvSpPr>
          <xdr:cNvPr id="48" name="Freeform 121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31</xdr:col>
      <xdr:colOff>590550</xdr:colOff>
      <xdr:row>1</xdr:row>
      <xdr:rowOff>142875</xdr:rowOff>
    </xdr:from>
    <xdr:to>
      <xdr:col>32</xdr:col>
      <xdr:colOff>333375</xdr:colOff>
      <xdr:row>1</xdr:row>
      <xdr:rowOff>361950</xdr:rowOff>
    </xdr:to>
    <xdr:grpSp>
      <xdr:nvGrpSpPr>
        <xdr:cNvPr id="49" name="Group 11"/>
        <xdr:cNvGrpSpPr>
          <a:grpSpLocks/>
        </xdr:cNvGrpSpPr>
      </xdr:nvGrpSpPr>
      <xdr:grpSpPr>
        <a:xfrm>
          <a:off x="17192625" y="523875"/>
          <a:ext cx="723900" cy="219075"/>
          <a:chOff x="459" y="8"/>
          <a:chExt cx="82" cy="23"/>
        </a:xfrm>
        <a:solidFill>
          <a:srgbClr val="FFFFFF"/>
        </a:solidFill>
      </xdr:grpSpPr>
      <xdr:sp macro="[0]!Neu_WES_Speisen">
        <xdr:nvSpPr>
          <xdr:cNvPr id="50" name="Rectangle 1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51" name="Freeform 1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52" name="Text Box 1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Neu ...</a:t>
            </a:r>
          </a:p>
        </xdr:txBody>
      </xdr:sp>
    </xdr:grpSp>
    <xdr:clientData fPrintsWithSheet="0"/>
  </xdr:twoCellAnchor>
  <xdr:twoCellAnchor>
    <xdr:from>
      <xdr:col>28</xdr:col>
      <xdr:colOff>104775</xdr:colOff>
      <xdr:row>1</xdr:row>
      <xdr:rowOff>142875</xdr:rowOff>
    </xdr:from>
    <xdr:to>
      <xdr:col>31</xdr:col>
      <xdr:colOff>466725</xdr:colOff>
      <xdr:row>1</xdr:row>
      <xdr:rowOff>361950</xdr:rowOff>
    </xdr:to>
    <xdr:grpSp>
      <xdr:nvGrpSpPr>
        <xdr:cNvPr id="53" name="Group 15"/>
        <xdr:cNvGrpSpPr>
          <a:grpSpLocks/>
        </xdr:cNvGrpSpPr>
      </xdr:nvGrpSpPr>
      <xdr:grpSpPr>
        <a:xfrm>
          <a:off x="15897225" y="523875"/>
          <a:ext cx="1171575" cy="219075"/>
          <a:chOff x="459" y="8"/>
          <a:chExt cx="82" cy="23"/>
        </a:xfrm>
        <a:solidFill>
          <a:srgbClr val="FFFFFF"/>
        </a:solidFill>
      </xdr:grpSpPr>
      <xdr:sp macro="[0]!Nocheinmal_WES_Speisen">
        <xdr:nvSpPr>
          <xdr:cNvPr id="54" name="Rectangle 1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55" name="Freeform 1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56" name="Text Box 1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Noch einmal! ...</a:t>
            </a:r>
          </a:p>
        </xdr:txBody>
      </xdr:sp>
    </xdr:grpSp>
    <xdr:clientData fPrintsWithSheet="0"/>
  </xdr:twoCellAnchor>
  <xdr:twoCellAnchor>
    <xdr:from>
      <xdr:col>57</xdr:col>
      <xdr:colOff>590550</xdr:colOff>
      <xdr:row>1</xdr:row>
      <xdr:rowOff>142875</xdr:rowOff>
    </xdr:from>
    <xdr:to>
      <xdr:col>58</xdr:col>
      <xdr:colOff>333375</xdr:colOff>
      <xdr:row>1</xdr:row>
      <xdr:rowOff>361950</xdr:rowOff>
    </xdr:to>
    <xdr:grpSp>
      <xdr:nvGrpSpPr>
        <xdr:cNvPr id="57" name="Group 11"/>
        <xdr:cNvGrpSpPr>
          <a:grpSpLocks/>
        </xdr:cNvGrpSpPr>
      </xdr:nvGrpSpPr>
      <xdr:grpSpPr>
        <a:xfrm>
          <a:off x="30013275" y="523875"/>
          <a:ext cx="723900" cy="219075"/>
          <a:chOff x="459" y="8"/>
          <a:chExt cx="82" cy="23"/>
        </a:xfrm>
        <a:solidFill>
          <a:srgbClr val="FFFFFF"/>
        </a:solidFill>
      </xdr:grpSpPr>
      <xdr:sp macro="[0]!Neu_WES_Speisen">
        <xdr:nvSpPr>
          <xdr:cNvPr id="58" name="Rectangle 12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59" name="Freeform 13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eu_WES_Speisen">
        <xdr:nvSpPr>
          <xdr:cNvPr id="60" name="Text Box 14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Neu ...</a:t>
            </a:r>
          </a:p>
        </xdr:txBody>
      </xdr:sp>
    </xdr:grpSp>
    <xdr:clientData fPrintsWithSheet="0"/>
  </xdr:twoCellAnchor>
  <xdr:twoCellAnchor>
    <xdr:from>
      <xdr:col>54</xdr:col>
      <xdr:colOff>104775</xdr:colOff>
      <xdr:row>1</xdr:row>
      <xdr:rowOff>142875</xdr:rowOff>
    </xdr:from>
    <xdr:to>
      <xdr:col>57</xdr:col>
      <xdr:colOff>466725</xdr:colOff>
      <xdr:row>1</xdr:row>
      <xdr:rowOff>361950</xdr:rowOff>
    </xdr:to>
    <xdr:grpSp>
      <xdr:nvGrpSpPr>
        <xdr:cNvPr id="61" name="Group 15"/>
        <xdr:cNvGrpSpPr>
          <a:grpSpLocks/>
        </xdr:cNvGrpSpPr>
      </xdr:nvGrpSpPr>
      <xdr:grpSpPr>
        <a:xfrm>
          <a:off x="28717875" y="523875"/>
          <a:ext cx="1171575" cy="219075"/>
          <a:chOff x="459" y="8"/>
          <a:chExt cx="82" cy="23"/>
        </a:xfrm>
        <a:solidFill>
          <a:srgbClr val="FFFFFF"/>
        </a:solidFill>
      </xdr:grpSpPr>
      <xdr:sp macro="[0]!Nocheinmal_WES_Speisen">
        <xdr:nvSpPr>
          <xdr:cNvPr id="62" name="Rectangle 16"/>
          <xdr:cNvSpPr>
            <a:spLocks/>
          </xdr:cNvSpPr>
        </xdr:nvSpPr>
        <xdr:spPr>
          <a:xfrm>
            <a:off x="459" y="8"/>
            <a:ext cx="82" cy="23"/>
          </a:xfrm>
          <a:prstGeom prst="rect">
            <a:avLst/>
          </a:prstGeom>
          <a:solidFill>
            <a:srgbClr val="80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63" name="Freeform 17"/>
          <xdr:cNvSpPr>
            <a:spLocks/>
          </xdr:cNvSpPr>
        </xdr:nvSpPr>
        <xdr:spPr>
          <a:xfrm>
            <a:off x="459" y="8"/>
            <a:ext cx="81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solidFill>
            <a:srgbClr val="800000"/>
          </a:solidFill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Nocheinmal_WES_Speisen">
        <xdr:nvSpPr>
          <xdr:cNvPr id="64" name="Text Box 18"/>
          <xdr:cNvSpPr txBox="1">
            <a:spLocks noChangeArrowheads="1"/>
          </xdr:cNvSpPr>
        </xdr:nvSpPr>
        <xdr:spPr>
          <a:xfrm>
            <a:off x="462" y="11"/>
            <a:ext cx="77" cy="17"/>
          </a:xfrm>
          <a:prstGeom prst="rect">
            <a:avLst/>
          </a:prstGeom>
          <a:solidFill>
            <a:srgbClr val="800000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</a:rPr>
              <a:t>Noch einmal! ...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35</xdr:row>
      <xdr:rowOff>0</xdr:rowOff>
    </xdr:from>
    <xdr:to>
      <xdr:col>3</xdr:col>
      <xdr:colOff>0</xdr:colOff>
      <xdr:row>67</xdr:row>
      <xdr:rowOff>238125</xdr:rowOff>
    </xdr:to>
    <xdr:pic>
      <xdr:nvPicPr>
        <xdr:cNvPr id="1" name="Grafik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0" y="10287000"/>
          <a:ext cx="5867400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008000"/>
  </sheetPr>
  <dimension ref="A1:AG89"/>
  <sheetViews>
    <sheetView showGridLines="0" showRowColHeaders="0" zoomScalePageLayoutView="0" workbookViewId="0" topLeftCell="A1">
      <pane ySplit="2" topLeftCell="A5" activePane="bottomLeft" state="frozen"/>
      <selection pane="topLeft" activeCell="B4" sqref="B4:C4"/>
      <selection pane="bottomLeft" activeCell="G5" sqref="G5"/>
    </sheetView>
  </sheetViews>
  <sheetFormatPr defaultColWidth="0" defaultRowHeight="11.25" customHeight="1" zeroHeight="1"/>
  <cols>
    <col min="1" max="1" width="2.7109375" style="0" customWidth="1"/>
    <col min="2" max="2" width="9.7109375" style="0" customWidth="1"/>
    <col min="3" max="3" width="3.7109375" style="0" customWidth="1"/>
    <col min="4" max="4" width="1.7109375" style="0" customWidth="1"/>
    <col min="5" max="5" width="25.7109375" style="0" customWidth="1"/>
    <col min="6" max="6" width="0.85546875" style="0" customWidth="1"/>
    <col min="7" max="7" width="8.7109375" style="0" customWidth="1"/>
    <col min="8" max="8" width="3.7109375" style="0" customWidth="1"/>
    <col min="9" max="9" width="0.85546875" style="0" customWidth="1"/>
    <col min="10" max="10" width="9.7109375" style="0" customWidth="1"/>
    <col min="11" max="11" width="0.85546875" style="0" customWidth="1"/>
    <col min="12" max="12" width="3.7109375" style="0" customWidth="1"/>
    <col min="13" max="13" width="11.421875" style="0" customWidth="1"/>
    <col min="14" max="14" width="4.7109375" style="0" customWidth="1"/>
    <col min="15" max="15" width="2.7109375" style="0" customWidth="1"/>
    <col min="16" max="16" width="16.8515625" style="0" hidden="1" customWidth="1"/>
    <col min="17" max="17" width="2.7109375" style="0" hidden="1" customWidth="1"/>
    <col min="18" max="18" width="4.00390625" style="0" hidden="1" customWidth="1"/>
    <col min="19" max="19" width="1.8515625" style="0" hidden="1" customWidth="1"/>
    <col min="20" max="20" width="15.00390625" style="0" hidden="1" customWidth="1"/>
    <col min="21" max="21" width="10.421875" style="0" hidden="1" customWidth="1"/>
    <col min="22" max="22" width="1.421875" style="0" hidden="1" customWidth="1"/>
    <col min="23" max="23" width="5.28125" style="0" hidden="1" customWidth="1"/>
    <col min="24" max="24" width="1.8515625" style="0" hidden="1" customWidth="1"/>
    <col min="25" max="25" width="15.140625" style="0" hidden="1" customWidth="1"/>
    <col min="26" max="26" width="11.28125" style="0" hidden="1" customWidth="1"/>
    <col min="27" max="27" width="4.7109375" style="0" hidden="1" customWidth="1"/>
    <col min="28" max="28" width="6.57421875" style="0" hidden="1" customWidth="1"/>
    <col min="29" max="29" width="1.8515625" style="0" hidden="1" customWidth="1"/>
    <col min="30" max="30" width="13.7109375" style="0" hidden="1" customWidth="1"/>
    <col min="31" max="31" width="2.7109375" style="0" customWidth="1"/>
    <col min="32" max="32" width="55.7109375" style="0" customWidth="1"/>
    <col min="33" max="33" width="2.7109375" style="0" customWidth="1"/>
    <col min="34" max="16384" width="11.421875" style="0" hidden="1" customWidth="1"/>
  </cols>
  <sheetData>
    <row r="1" spans="1:33" ht="24.75" customHeight="1" thickBot="1" thickTop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98">
        <f ca="1">TODAY()-365</f>
        <v>41294</v>
      </c>
      <c r="N1" s="299"/>
      <c r="O1" s="30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5"/>
      <c r="AG1" s="5"/>
    </row>
    <row r="2" spans="1:33" ht="30" customHeight="1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  <c r="AF2" s="5"/>
      <c r="AG2" s="5"/>
    </row>
    <row r="3" spans="1:33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  <c r="AF3" s="5"/>
      <c r="AG3" s="5"/>
    </row>
    <row r="4" spans="1:33" ht="15">
      <c r="A4" s="6"/>
      <c r="B4" s="7" t="s">
        <v>1</v>
      </c>
      <c r="C4" s="8"/>
      <c r="D4" s="8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  <c r="AF4" s="5"/>
      <c r="AG4" s="5"/>
    </row>
    <row r="5" spans="1:33" ht="15" customHeight="1">
      <c r="A5" s="6"/>
      <c r="B5" s="11" t="s">
        <v>2</v>
      </c>
      <c r="C5" s="6"/>
      <c r="D5" s="6"/>
      <c r="E5" s="6"/>
      <c r="F5" s="6"/>
      <c r="G5" s="12">
        <v>0.026</v>
      </c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5"/>
      <c r="AG5" s="5"/>
    </row>
    <row r="6" spans="1:33" ht="4.5" customHeight="1">
      <c r="A6" s="6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5"/>
      <c r="AG6" s="5"/>
    </row>
    <row r="7" spans="1:33" ht="15" customHeight="1">
      <c r="A7" s="6"/>
      <c r="B7" s="11" t="s">
        <v>3</v>
      </c>
      <c r="C7" s="6"/>
      <c r="D7" s="6"/>
      <c r="E7" s="6"/>
      <c r="F7" s="6"/>
      <c r="G7" s="13">
        <v>0.038</v>
      </c>
      <c r="H7" s="6"/>
      <c r="I7" s="6"/>
      <c r="J7" s="6"/>
      <c r="K7" s="6"/>
      <c r="L7" s="6"/>
      <c r="M7" s="6"/>
      <c r="N7" s="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  <c r="AF7" s="5"/>
      <c r="AG7" s="5"/>
    </row>
    <row r="8" spans="1:33" ht="15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  <c r="AF8" s="5"/>
      <c r="AG8" s="5"/>
    </row>
    <row r="9" spans="1:33" ht="15">
      <c r="A9" s="6"/>
      <c r="B9" s="7" t="s">
        <v>4</v>
      </c>
      <c r="C9" s="14" t="str">
        <f>C14&amp;" "&amp;C40</f>
        <v>Salade russe </v>
      </c>
      <c r="D9" s="15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5"/>
      <c r="AG9" s="5"/>
    </row>
    <row r="10" spans="1:33" ht="15" customHeight="1">
      <c r="A10" s="6"/>
      <c r="B10" s="6" t="s">
        <v>5</v>
      </c>
      <c r="C10" s="6"/>
      <c r="D10" s="6"/>
      <c r="E10" s="16">
        <f>M1-359</f>
        <v>40935</v>
      </c>
      <c r="F10" s="6"/>
      <c r="G10" s="6"/>
      <c r="H10" s="6"/>
      <c r="I10" s="6"/>
      <c r="J10" s="6" t="s">
        <v>6</v>
      </c>
      <c r="K10" s="6"/>
      <c r="L10" s="6"/>
      <c r="M10" s="17">
        <v>0.1</v>
      </c>
      <c r="N10" s="6"/>
      <c r="O10" s="6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  <c r="AF10" s="5"/>
      <c r="AG10" s="5"/>
    </row>
    <row r="11" spans="1:33" ht="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5"/>
      <c r="AG11" s="5"/>
    </row>
    <row r="12" spans="1:33" ht="15" customHeight="1">
      <c r="A12" s="6"/>
      <c r="B12" s="6" t="s">
        <v>7</v>
      </c>
      <c r="C12" s="6"/>
      <c r="D12" s="6"/>
      <c r="E12" s="18">
        <v>1</v>
      </c>
      <c r="F12" s="6"/>
      <c r="G12" s="6"/>
      <c r="H12" s="6"/>
      <c r="I12" s="6"/>
      <c r="J12" s="6" t="s">
        <v>8</v>
      </c>
      <c r="K12" s="6"/>
      <c r="L12" s="6"/>
      <c r="M12" s="17">
        <v>0.125</v>
      </c>
      <c r="N12" s="6"/>
      <c r="O12" s="6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  <c r="AF12" s="5"/>
      <c r="AG12" s="5"/>
    </row>
    <row r="13" spans="1:33" ht="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5"/>
      <c r="AG13" s="5"/>
    </row>
    <row r="14" spans="1:33" ht="18" customHeight="1">
      <c r="A14" s="6"/>
      <c r="B14" s="19" t="s">
        <v>9</v>
      </c>
      <c r="C14" s="301" t="s">
        <v>113</v>
      </c>
      <c r="D14" s="302"/>
      <c r="E14" s="302"/>
      <c r="F14" s="302"/>
      <c r="G14" s="303"/>
      <c r="H14" s="20"/>
      <c r="I14" s="6"/>
      <c r="J14" s="6" t="s">
        <v>10</v>
      </c>
      <c r="K14" s="6"/>
      <c r="L14" s="6"/>
      <c r="M14" s="21">
        <v>12</v>
      </c>
      <c r="N14" s="6"/>
      <c r="O14" s="6"/>
      <c r="P14" s="22" t="s">
        <v>11</v>
      </c>
      <c r="Q14" s="23"/>
      <c r="R14" s="23"/>
      <c r="S14" s="23"/>
      <c r="T14" s="23"/>
      <c r="U14" s="23" t="s">
        <v>12</v>
      </c>
      <c r="V14" s="23"/>
      <c r="W14" s="23"/>
      <c r="X14" s="23"/>
      <c r="Y14" s="23"/>
      <c r="Z14" s="23" t="s">
        <v>13</v>
      </c>
      <c r="AA14" s="23"/>
      <c r="AB14" s="23"/>
      <c r="AC14" s="23"/>
      <c r="AD14" s="24"/>
      <c r="AE14" s="5"/>
      <c r="AF14" s="5"/>
      <c r="AG14" s="5"/>
    </row>
    <row r="15" spans="1:33" ht="15">
      <c r="A15" s="6"/>
      <c r="B15" s="25" t="s">
        <v>14</v>
      </c>
      <c r="C15" s="26" t="s">
        <v>15</v>
      </c>
      <c r="D15" s="26"/>
      <c r="E15" s="25" t="s">
        <v>16</v>
      </c>
      <c r="F15" s="25"/>
      <c r="G15" s="25" t="s">
        <v>17</v>
      </c>
      <c r="H15" s="25"/>
      <c r="I15" s="25"/>
      <c r="J15" s="25" t="s">
        <v>18</v>
      </c>
      <c r="K15" s="25"/>
      <c r="L15" s="25"/>
      <c r="M15" s="6"/>
      <c r="N15" s="6"/>
      <c r="O15" s="6"/>
      <c r="P15" s="27" t="str">
        <f>IF(C14="","",C14)</f>
        <v>Salade russe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9"/>
      <c r="AE15" s="5"/>
      <c r="AF15" s="5"/>
      <c r="AG15" s="5"/>
    </row>
    <row r="16" spans="1:33" ht="15" customHeight="1">
      <c r="A16" s="6"/>
      <c r="B16" s="30">
        <v>40</v>
      </c>
      <c r="C16" s="31" t="s">
        <v>19</v>
      </c>
      <c r="D16" s="26"/>
      <c r="E16" s="21" t="s">
        <v>112</v>
      </c>
      <c r="F16" s="25"/>
      <c r="G16" s="30"/>
      <c r="H16" s="32">
        <f>IF(C16="Stk","g","")</f>
      </c>
      <c r="I16" s="25"/>
      <c r="J16" s="33">
        <v>0.9</v>
      </c>
      <c r="K16" s="34" t="str">
        <f>IF(C16="","","/")</f>
        <v>/</v>
      </c>
      <c r="L16" s="35" t="str">
        <f>IF(C16="","",IF(AND(C16="St",G16&lt;&gt;""),"kg",VLOOKUP(C16,Preise,2,0)))</f>
        <v>kg</v>
      </c>
      <c r="M16" s="6"/>
      <c r="N16" s="304" t="s">
        <v>20</v>
      </c>
      <c r="O16" s="6"/>
      <c r="P16" s="27" t="str">
        <f>IF(E16="","",E16)</f>
        <v>Karotten</v>
      </c>
      <c r="Q16" s="28" t="str">
        <f>IF(P16="","",":")</f>
        <v>:</v>
      </c>
      <c r="R16" s="28" t="str">
        <f>IF(B16="","",IF(AND(B16&lt;&gt;"",C16="",MOD(B16,1)),TEXT(B16,"?/?"),B16)&amp;IF(C16="",""," "&amp;C16))</f>
        <v>40 g</v>
      </c>
      <c r="S16" s="28" t="str">
        <f>IF(AND(P16&lt;&gt;"",P18&lt;&gt;""),", ",IF(AND(P16&lt;&gt;"",P18=""),". ",""))</f>
        <v>, </v>
      </c>
      <c r="T16" s="28" t="str">
        <f>P16&amp;Q16&amp;" "&amp;R16&amp;S16</f>
        <v>Karotten: 40 g, </v>
      </c>
      <c r="U16" s="28" t="str">
        <f>IF(E16="","",E16)</f>
        <v>Karotten</v>
      </c>
      <c r="V16" s="28" t="str">
        <f>IF(U16="","",":")</f>
        <v>:</v>
      </c>
      <c r="W16" s="28" t="str">
        <f>IF(J16="","",J16&amp;" €")</f>
        <v>0,9 €</v>
      </c>
      <c r="X16" s="28" t="str">
        <f>IF(AND(U16&lt;&gt;"",U18&lt;&gt;""),", ",IF(AND(U16&lt;&gt;"",U18=""),". ",""))</f>
        <v>, </v>
      </c>
      <c r="Y16" s="28" t="str">
        <f>U16&amp;V16&amp;" "&amp;IF(W16="","",FIXED(W16))&amp;IF(L16="",""," €/"&amp;L16)&amp;X16</f>
        <v>Karotten: 0,90 €/kg, </v>
      </c>
      <c r="Z16" s="28">
        <f>IF(AB16="","",E16)</f>
      </c>
      <c r="AA16" s="28">
        <f>IF(AB16="","",":")</f>
      </c>
      <c r="AB16" s="28">
        <f>IF(G16="","",G16&amp;" g/Stk")</f>
      </c>
      <c r="AC16" s="28">
        <f>IF(OR(AND(AB16&lt;&gt;"",AB18="",$AD$63&lt;&gt;""),AND(AB16&lt;&gt;"",AB18&lt;&gt;"",$AD$63&lt;&gt;"")),", ",IF(AND(AB16&lt;&gt;"",AB18=""),". ",""))</f>
      </c>
      <c r="AD16" s="29">
        <f>IF(AB16="","",Z16&amp;AA16&amp;" "&amp;AB16&amp;AC16)</f>
      </c>
      <c r="AE16" s="5"/>
      <c r="AF16" s="5"/>
      <c r="AG16" s="5"/>
    </row>
    <row r="17" spans="1:33" ht="4.5" customHeight="1">
      <c r="A17" s="6"/>
      <c r="B17" s="6"/>
      <c r="C17" s="6"/>
      <c r="D17" s="26"/>
      <c r="E17" s="6"/>
      <c r="F17" s="6"/>
      <c r="G17" s="6"/>
      <c r="H17" s="6"/>
      <c r="I17" s="6"/>
      <c r="J17" s="36"/>
      <c r="K17" s="6"/>
      <c r="L17" s="6"/>
      <c r="M17" s="6"/>
      <c r="N17" s="304"/>
      <c r="O17" s="6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9"/>
      <c r="AE17" s="5"/>
      <c r="AF17" s="5"/>
      <c r="AG17" s="5"/>
    </row>
    <row r="18" spans="1:33" ht="15" customHeight="1">
      <c r="A18" s="6"/>
      <c r="B18" s="30">
        <v>40</v>
      </c>
      <c r="C18" s="31" t="s">
        <v>19</v>
      </c>
      <c r="D18" s="26"/>
      <c r="E18" s="21" t="s">
        <v>114</v>
      </c>
      <c r="F18" s="25"/>
      <c r="G18" s="30"/>
      <c r="H18" s="32">
        <f>IF(C18="Stk","g","")</f>
      </c>
      <c r="I18" s="25"/>
      <c r="J18" s="33">
        <v>1.6</v>
      </c>
      <c r="K18" s="34" t="str">
        <f>IF(C18="","","/")</f>
        <v>/</v>
      </c>
      <c r="L18" s="35" t="str">
        <f>IF(C18="","",VLOOKUP(C18,Preise,2,0))</f>
        <v>kg</v>
      </c>
      <c r="M18" s="6"/>
      <c r="N18" s="304"/>
      <c r="O18" s="6"/>
      <c r="P18" s="27" t="str">
        <f>IF(E18="","",E18)</f>
        <v>Sellerie</v>
      </c>
      <c r="Q18" s="28" t="str">
        <f aca="true" t="shared" si="0" ref="Q18:Q38">IF(P18="","",":")</f>
        <v>:</v>
      </c>
      <c r="R18" s="28" t="str">
        <f>IF(B18="","",IF(AND(B18&lt;&gt;"",C18="",MOD(B18,1)),TEXT(B18,"?/?"),B18)&amp;IF(C18="",""," "&amp;C18))</f>
        <v>40 g</v>
      </c>
      <c r="S18" s="28" t="str">
        <f>IF(AND(P18&lt;&gt;"",P20&lt;&gt;""),", ",IF(AND(P18&lt;&gt;"",P20=""),". ",""))</f>
        <v>, </v>
      </c>
      <c r="T18" s="28" t="str">
        <f aca="true" t="shared" si="1" ref="T18:T38">P18&amp;Q18&amp;" "&amp;R18&amp;S18</f>
        <v>Sellerie: 40 g, </v>
      </c>
      <c r="U18" s="28" t="str">
        <f>IF(E18="","",E18)</f>
        <v>Sellerie</v>
      </c>
      <c r="V18" s="28" t="str">
        <f aca="true" t="shared" si="2" ref="V18:V38">IF(U18="","",":")</f>
        <v>:</v>
      </c>
      <c r="W18" s="28" t="str">
        <f>IF(J18="","",J18&amp;" €")</f>
        <v>1,6 €</v>
      </c>
      <c r="X18" s="28" t="str">
        <f>IF(AND(U18&lt;&gt;"",U20&lt;&gt;""),", ",IF(AND(U18&lt;&gt;"",U20=""),". ",""))</f>
        <v>, </v>
      </c>
      <c r="Y18" s="28" t="str">
        <f>U18&amp;V18&amp;" "&amp;IF(W18="","",FIXED(W18))&amp;IF(L18="",""," €/"&amp;L18)&amp;X18</f>
        <v>Sellerie: 1,60 €/kg, </v>
      </c>
      <c r="Z18" s="28">
        <f>IF(AB18="","",E18)</f>
      </c>
      <c r="AA18" s="28">
        <f aca="true" t="shared" si="3" ref="AA18:AA38">IF(AB18="","",":")</f>
      </c>
      <c r="AB18" s="28">
        <f>IF(G18="","",G18&amp;" g/Stk")</f>
      </c>
      <c r="AC18" s="28">
        <f>IF(OR(AND(AB18&lt;&gt;"",AB20="",$AD$63&lt;&gt;""),AND(AB18&lt;&gt;"",AB20&lt;&gt;"",$AD$63&lt;&gt;"")),", ",IF(AND(AB18&lt;&gt;"",AB20=""),". ",""))</f>
      </c>
      <c r="AD18" s="29">
        <f aca="true" t="shared" si="4" ref="AD18:AD38">IF(AB18="","",Z18&amp;AA18&amp;" "&amp;AB18&amp;AC18)</f>
      </c>
      <c r="AE18" s="5"/>
      <c r="AF18" s="5"/>
      <c r="AG18" s="5"/>
    </row>
    <row r="19" spans="1:33" ht="4.5" customHeight="1">
      <c r="A19" s="6"/>
      <c r="B19" s="6"/>
      <c r="C19" s="6"/>
      <c r="D19" s="26"/>
      <c r="E19" s="6"/>
      <c r="F19" s="6"/>
      <c r="G19" s="6"/>
      <c r="H19" s="6"/>
      <c r="I19" s="6"/>
      <c r="J19" s="36"/>
      <c r="K19" s="6"/>
      <c r="L19" s="6"/>
      <c r="M19" s="6"/>
      <c r="N19" s="304"/>
      <c r="O19" s="6"/>
      <c r="P19" s="27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9"/>
      <c r="AE19" s="5"/>
      <c r="AF19" s="5"/>
      <c r="AG19" s="5"/>
    </row>
    <row r="20" spans="1:33" ht="15" customHeight="1">
      <c r="A20" s="6"/>
      <c r="B20" s="30">
        <v>40</v>
      </c>
      <c r="C20" s="31" t="s">
        <v>19</v>
      </c>
      <c r="D20" s="26"/>
      <c r="E20" s="21" t="s">
        <v>115</v>
      </c>
      <c r="F20" s="25"/>
      <c r="G20" s="30"/>
      <c r="H20" s="32">
        <f>IF(C20="Stk","g","")</f>
      </c>
      <c r="I20" s="25"/>
      <c r="J20" s="33">
        <v>0.92</v>
      </c>
      <c r="K20" s="34" t="str">
        <f>IF(C20="","","/")</f>
        <v>/</v>
      </c>
      <c r="L20" s="35" t="str">
        <f>IF(C20="","",VLOOKUP(C20,Preise,2,0))</f>
        <v>kg</v>
      </c>
      <c r="M20" s="6"/>
      <c r="N20" s="304"/>
      <c r="O20" s="6"/>
      <c r="P20" s="27" t="str">
        <f>IF(E20="","",E20)</f>
        <v>grüne Bohnen</v>
      </c>
      <c r="Q20" s="28" t="str">
        <f t="shared" si="0"/>
        <v>:</v>
      </c>
      <c r="R20" s="28" t="str">
        <f>IF(B20="","",IF(AND(B20&lt;&gt;"",C20="",MOD(B20,1)),TEXT(B20,"?/?"),B20)&amp;IF(C20="",""," "&amp;C20))</f>
        <v>40 g</v>
      </c>
      <c r="S20" s="28" t="str">
        <f>IF(AND(P20&lt;&gt;"",P22&lt;&gt;""),", ",IF(AND(P20&lt;&gt;"",P22=""),". ",""))</f>
        <v>, </v>
      </c>
      <c r="T20" s="28" t="str">
        <f t="shared" si="1"/>
        <v>grüne Bohnen: 40 g, </v>
      </c>
      <c r="U20" s="28" t="str">
        <f>IF(E20="","",E20)</f>
        <v>grüne Bohnen</v>
      </c>
      <c r="V20" s="28" t="str">
        <f t="shared" si="2"/>
        <v>:</v>
      </c>
      <c r="W20" s="28" t="str">
        <f>IF(J20="","",J20&amp;" €")</f>
        <v>0,92 €</v>
      </c>
      <c r="X20" s="28" t="str">
        <f>IF(AND(U20&lt;&gt;"",U22&lt;&gt;""),", ",IF(AND(U20&lt;&gt;"",U22=""),". ",""))</f>
        <v>, </v>
      </c>
      <c r="Y20" s="28" t="str">
        <f>U20&amp;V20&amp;" "&amp;IF(W20="","",FIXED(W20))&amp;IF(L20="",""," €/"&amp;L20)&amp;X20</f>
        <v>grüne Bohnen: 0,92 €/kg, </v>
      </c>
      <c r="Z20" s="28">
        <f>IF(AB20="","",E20)</f>
      </c>
      <c r="AA20" s="28">
        <f t="shared" si="3"/>
      </c>
      <c r="AB20" s="28">
        <f>IF(G20="","",G20&amp;" g/Stk")</f>
      </c>
      <c r="AC20" s="28">
        <f>IF(OR(AND(AB20&lt;&gt;"",AB22="",$AD$63&lt;&gt;""),AND(AB20&lt;&gt;"",AB22&lt;&gt;"",$AD$63&lt;&gt;"")),", ",IF(AND(AB20&lt;&gt;"",AB22=""),". ",""))</f>
      </c>
      <c r="AD20" s="29">
        <f t="shared" si="4"/>
      </c>
      <c r="AE20" s="5"/>
      <c r="AF20" s="5"/>
      <c r="AG20" s="5"/>
    </row>
    <row r="21" spans="1:33" ht="4.5" customHeight="1">
      <c r="A21" s="6"/>
      <c r="B21" s="6"/>
      <c r="C21" s="6"/>
      <c r="D21" s="26"/>
      <c r="E21" s="6"/>
      <c r="F21" s="6"/>
      <c r="G21" s="6"/>
      <c r="H21" s="6"/>
      <c r="I21" s="6"/>
      <c r="J21" s="36"/>
      <c r="K21" s="6"/>
      <c r="L21" s="6"/>
      <c r="M21" s="6"/>
      <c r="N21" s="304"/>
      <c r="O21" s="6"/>
      <c r="P21" s="27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9"/>
      <c r="AE21" s="5"/>
      <c r="AF21" s="5"/>
      <c r="AG21" s="5"/>
    </row>
    <row r="22" spans="1:33" ht="15" customHeight="1">
      <c r="A22" s="6"/>
      <c r="B22" s="30">
        <v>40</v>
      </c>
      <c r="C22" s="31" t="s">
        <v>19</v>
      </c>
      <c r="D22" s="26"/>
      <c r="E22" s="21" t="s">
        <v>116</v>
      </c>
      <c r="F22" s="25"/>
      <c r="G22" s="30"/>
      <c r="H22" s="32">
        <f>IF(C22="Stk","g","")</f>
      </c>
      <c r="I22" s="25"/>
      <c r="J22" s="33">
        <v>0.72</v>
      </c>
      <c r="K22" s="34" t="str">
        <f>IF(C22="","","/")</f>
        <v>/</v>
      </c>
      <c r="L22" s="35" t="str">
        <f>IF(C22="","",VLOOKUP(C22,Preise,2,0))</f>
        <v>kg</v>
      </c>
      <c r="M22" s="6"/>
      <c r="N22" s="304"/>
      <c r="O22" s="6"/>
      <c r="P22" s="27" t="str">
        <f>IF(E22="","",E22)</f>
        <v>Kartoffel, gekocht</v>
      </c>
      <c r="Q22" s="28" t="str">
        <f t="shared" si="0"/>
        <v>:</v>
      </c>
      <c r="R22" s="28" t="str">
        <f>IF(B22="","",IF(AND(B22&lt;&gt;"",C22="",MOD(B22,1)),TEXT(B22,"?/?"),B22)&amp;IF(C22="",""," "&amp;C22))</f>
        <v>40 g</v>
      </c>
      <c r="S22" s="28" t="str">
        <f>IF(AND(P22&lt;&gt;"",P24&lt;&gt;""),", ",IF(AND(P22&lt;&gt;"",P24=""),". ",""))</f>
        <v>, </v>
      </c>
      <c r="T22" s="28" t="str">
        <f t="shared" si="1"/>
        <v>Kartoffel, gekocht: 40 g, </v>
      </c>
      <c r="U22" s="28" t="str">
        <f>IF(E22="","",E22)</f>
        <v>Kartoffel, gekocht</v>
      </c>
      <c r="V22" s="28" t="str">
        <f t="shared" si="2"/>
        <v>:</v>
      </c>
      <c r="W22" s="28" t="str">
        <f>IF(J22="","",J22&amp;" €")</f>
        <v>0,72 €</v>
      </c>
      <c r="X22" s="28" t="str">
        <f>IF(AND(U22&lt;&gt;"",U24&lt;&gt;""),", ",IF(AND(U22&lt;&gt;"",U24=""),". ",""))</f>
        <v>, </v>
      </c>
      <c r="Y22" s="28" t="str">
        <f>U22&amp;V22&amp;" "&amp;IF(W22="","",FIXED(W22))&amp;IF(L22="",""," €/"&amp;L22)&amp;X22</f>
        <v>Kartoffel, gekocht: 0,72 €/kg, </v>
      </c>
      <c r="Z22" s="28">
        <f>IF(AB22="","",E22)</f>
      </c>
      <c r="AA22" s="28">
        <f t="shared" si="3"/>
      </c>
      <c r="AB22" s="28">
        <f>IF(G22="","",G22&amp;" g/Stk")</f>
      </c>
      <c r="AC22" s="28">
        <f>IF(OR(AND(AB22&lt;&gt;"",AB24="",$AD$63&lt;&gt;""),AND(AB22&lt;&gt;"",AB24&lt;&gt;"",$AD$63&lt;&gt;"")),", ",IF(AND(AB22&lt;&gt;"",AB24=""),". ",""))</f>
      </c>
      <c r="AD22" s="29">
        <f t="shared" si="4"/>
      </c>
      <c r="AE22" s="5"/>
      <c r="AF22" s="5"/>
      <c r="AG22" s="5"/>
    </row>
    <row r="23" spans="1:33" ht="4.5" customHeight="1">
      <c r="A23" s="6"/>
      <c r="B23" s="6"/>
      <c r="C23" s="6"/>
      <c r="D23" s="26"/>
      <c r="E23" s="6"/>
      <c r="F23" s="6"/>
      <c r="G23" s="6"/>
      <c r="H23" s="6"/>
      <c r="I23" s="6"/>
      <c r="J23" s="36"/>
      <c r="K23" s="6"/>
      <c r="L23" s="6"/>
      <c r="M23" s="6"/>
      <c r="N23" s="304"/>
      <c r="O23" s="6"/>
      <c r="P23" s="27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9"/>
      <c r="AE23" s="5"/>
      <c r="AF23" s="5"/>
      <c r="AG23" s="5"/>
    </row>
    <row r="24" spans="1:33" ht="15" customHeight="1">
      <c r="A24" s="6"/>
      <c r="B24" s="30">
        <v>40</v>
      </c>
      <c r="C24" s="31" t="s">
        <v>19</v>
      </c>
      <c r="D24" s="26"/>
      <c r="E24" s="21" t="s">
        <v>117</v>
      </c>
      <c r="F24" s="25"/>
      <c r="G24" s="30"/>
      <c r="H24" s="32">
        <f>IF(C24="Stk","g","")</f>
      </c>
      <c r="I24" s="25"/>
      <c r="J24" s="33">
        <v>1.18</v>
      </c>
      <c r="K24" s="34" t="str">
        <f>IF(C24="","","/")</f>
        <v>/</v>
      </c>
      <c r="L24" s="35" t="str">
        <f>IF(C24="","",VLOOKUP(C24,Preise,2,0))</f>
        <v>kg</v>
      </c>
      <c r="M24" s="6"/>
      <c r="N24" s="304"/>
      <c r="O24" s="6"/>
      <c r="P24" s="27" t="str">
        <f>IF(E24="","",E24)</f>
        <v>Erbsen, gekocht</v>
      </c>
      <c r="Q24" s="28" t="str">
        <f t="shared" si="0"/>
        <v>:</v>
      </c>
      <c r="R24" s="28" t="str">
        <f>IF(B24="","",IF(AND(B24&lt;&gt;"",C24="",MOD(B24,1)),TEXT(B24,"?/?"),B24)&amp;IF(C24="",""," "&amp;C24))</f>
        <v>40 g</v>
      </c>
      <c r="S24" s="28" t="str">
        <f>IF(AND(P24&lt;&gt;"",P26&lt;&gt;""),", ",IF(AND(P24&lt;&gt;"",P26=""),". ",""))</f>
        <v>, </v>
      </c>
      <c r="T24" s="28" t="str">
        <f t="shared" si="1"/>
        <v>Erbsen, gekocht: 40 g, </v>
      </c>
      <c r="U24" s="28" t="str">
        <f>IF(E24="","",E24)</f>
        <v>Erbsen, gekocht</v>
      </c>
      <c r="V24" s="28" t="str">
        <f t="shared" si="2"/>
        <v>:</v>
      </c>
      <c r="W24" s="28" t="str">
        <f>IF(J24="","",J24&amp;" €")</f>
        <v>1,18 €</v>
      </c>
      <c r="X24" s="28" t="str">
        <f>IF(AND(U24&lt;&gt;"",U26&lt;&gt;""),", ",IF(AND(U24&lt;&gt;"",U26=""),". ",""))</f>
        <v>, </v>
      </c>
      <c r="Y24" s="28" t="str">
        <f>U24&amp;V24&amp;" "&amp;IF(W24="","",FIXED(W24))&amp;IF(L24="",""," €/"&amp;L24)&amp;X24</f>
        <v>Erbsen, gekocht: 1,18 €/kg, </v>
      </c>
      <c r="Z24" s="28">
        <f>IF(AB24="","",E24)</f>
      </c>
      <c r="AA24" s="28">
        <f t="shared" si="3"/>
      </c>
      <c r="AB24" s="28">
        <f>IF(G24="","",G24&amp;" g/Stk")</f>
      </c>
      <c r="AC24" s="28">
        <f>IF(OR(AND(AB24&lt;&gt;"",AB26="",$AD$63&lt;&gt;""),AND(AB24&lt;&gt;"",AB26&lt;&gt;"",$AD$63&lt;&gt;"")),", ",IF(AND(AB24&lt;&gt;"",AB26=""),". ",""))</f>
      </c>
      <c r="AD24" s="29">
        <f t="shared" si="4"/>
      </c>
      <c r="AE24" s="5"/>
      <c r="AF24" s="5"/>
      <c r="AG24" s="5"/>
    </row>
    <row r="25" spans="1:33" ht="4.5" customHeight="1">
      <c r="A25" s="6"/>
      <c r="B25" s="6"/>
      <c r="C25" s="6"/>
      <c r="D25" s="26"/>
      <c r="E25" s="6"/>
      <c r="F25" s="6"/>
      <c r="G25" s="6"/>
      <c r="H25" s="6"/>
      <c r="I25" s="6"/>
      <c r="J25" s="36"/>
      <c r="K25" s="6"/>
      <c r="L25" s="6"/>
      <c r="M25" s="6"/>
      <c r="N25" s="304"/>
      <c r="O25" s="6"/>
      <c r="P25" s="27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9"/>
      <c r="AE25" s="5"/>
      <c r="AF25" s="5"/>
      <c r="AG25" s="5"/>
    </row>
    <row r="26" spans="1:33" ht="15" customHeight="1">
      <c r="A26" s="6"/>
      <c r="B26" s="30">
        <v>40</v>
      </c>
      <c r="C26" s="31" t="s">
        <v>19</v>
      </c>
      <c r="D26" s="26"/>
      <c r="E26" s="21" t="s">
        <v>118</v>
      </c>
      <c r="F26" s="25"/>
      <c r="G26" s="30"/>
      <c r="H26" s="32"/>
      <c r="I26" s="25"/>
      <c r="J26" s="33">
        <v>4.1</v>
      </c>
      <c r="K26" s="34" t="str">
        <f>IF(C26="","","/")</f>
        <v>/</v>
      </c>
      <c r="L26" s="35" t="str">
        <f>IF(C26="","",VLOOKUP(C26,Preise,2,0))</f>
        <v>kg</v>
      </c>
      <c r="M26" s="6"/>
      <c r="N26" s="304"/>
      <c r="O26" s="6"/>
      <c r="P26" s="27" t="str">
        <f>IF(E26="","",E26)</f>
        <v>Essiggurken</v>
      </c>
      <c r="Q26" s="28" t="str">
        <f t="shared" si="0"/>
        <v>:</v>
      </c>
      <c r="R26" s="28" t="str">
        <f>IF(B26="","",IF(AND(B26&lt;&gt;"",C26="",MOD(B26,1)),TEXT(B26,"?/?"),B26)&amp;IF(C26="",""," "&amp;C26))</f>
        <v>40 g</v>
      </c>
      <c r="S26" s="28" t="str">
        <f>IF(AND(P26&lt;&gt;"",P28&lt;&gt;""),", ",IF(AND(P26&lt;&gt;"",P28=""),". ",""))</f>
        <v>, </v>
      </c>
      <c r="T26" s="28" t="str">
        <f t="shared" si="1"/>
        <v>Essiggurken: 40 g, </v>
      </c>
      <c r="U26" s="28" t="str">
        <f>IF(E26="","",E26)</f>
        <v>Essiggurken</v>
      </c>
      <c r="V26" s="28" t="str">
        <f t="shared" si="2"/>
        <v>:</v>
      </c>
      <c r="W26" s="28" t="str">
        <f>IF(J26="","",J26&amp;" €")</f>
        <v>4,1 €</v>
      </c>
      <c r="X26" s="28" t="str">
        <f>IF(AND(U26&lt;&gt;"",U28&lt;&gt;""),", ",IF(AND(U26&lt;&gt;"",U28=""),". ",""))</f>
        <v>, </v>
      </c>
      <c r="Y26" s="28" t="str">
        <f>U26&amp;V26&amp;" "&amp;IF(W26="","",FIXED(W26))&amp;IF(L26="",""," €/"&amp;L26)&amp;X26</f>
        <v>Essiggurken: 4,10 €/kg, </v>
      </c>
      <c r="Z26" s="28">
        <f>IF(AB26="","",E26)</f>
      </c>
      <c r="AA26" s="28">
        <f t="shared" si="3"/>
      </c>
      <c r="AB26" s="28">
        <f>IF(G26="","",G26&amp;" g/Stk")</f>
      </c>
      <c r="AC26" s="28">
        <f>IF(OR(AND(AB26&lt;&gt;"",AB28="",$AD$63&lt;&gt;""),AND(AB26&lt;&gt;"",AB28&lt;&gt;"",$AD$63&lt;&gt;"")),", ",IF(AND(AB26&lt;&gt;"",AB28=""),". ",""))</f>
      </c>
      <c r="AD26" s="29">
        <f t="shared" si="4"/>
      </c>
      <c r="AE26" s="5"/>
      <c r="AF26" s="5"/>
      <c r="AG26" s="5"/>
    </row>
    <row r="27" spans="1:33" ht="4.5" customHeight="1">
      <c r="A27" s="6"/>
      <c r="B27" s="6"/>
      <c r="C27" s="6"/>
      <c r="D27" s="26"/>
      <c r="E27" s="6"/>
      <c r="F27" s="6"/>
      <c r="G27" s="6"/>
      <c r="H27" s="6"/>
      <c r="I27" s="6"/>
      <c r="J27" s="36"/>
      <c r="K27" s="6"/>
      <c r="L27" s="6"/>
      <c r="M27" s="6"/>
      <c r="N27" s="304"/>
      <c r="O27" s="6"/>
      <c r="P27" s="27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9"/>
      <c r="AE27" s="5"/>
      <c r="AF27" s="5"/>
      <c r="AG27" s="5"/>
    </row>
    <row r="28" spans="1:33" ht="15" customHeight="1">
      <c r="A28" s="6"/>
      <c r="B28" s="30">
        <v>40</v>
      </c>
      <c r="C28" s="31" t="s">
        <v>19</v>
      </c>
      <c r="D28" s="26"/>
      <c r="E28" s="21" t="s">
        <v>119</v>
      </c>
      <c r="F28" s="25"/>
      <c r="G28" s="30"/>
      <c r="H28" s="32"/>
      <c r="I28" s="25"/>
      <c r="J28" s="33">
        <v>0.85</v>
      </c>
      <c r="K28" s="34" t="str">
        <f>IF(C28="","","/")</f>
        <v>/</v>
      </c>
      <c r="L28" s="35" t="str">
        <f>IF(C28="","",VLOOKUP(C28,Preise,2,0))</f>
        <v>kg</v>
      </c>
      <c r="M28" s="6"/>
      <c r="N28" s="304"/>
      <c r="O28" s="6"/>
      <c r="P28" s="27" t="str">
        <f>IF(E28="","",E28)</f>
        <v>Äpfel</v>
      </c>
      <c r="Q28" s="28" t="str">
        <f t="shared" si="0"/>
        <v>:</v>
      </c>
      <c r="R28" s="28" t="str">
        <f>IF(B28="","",IF(AND(B28&lt;&gt;"",C28="",MOD(B28,1)),TEXT(B28,"?/?"),B28)&amp;IF(C28="",""," "&amp;C28))</f>
        <v>40 g</v>
      </c>
      <c r="S28" s="28" t="str">
        <f>IF(AND(P28&lt;&gt;"",P30&lt;&gt;""),", ",IF(AND(P28&lt;&gt;"",P30=""),". ",""))</f>
        <v>, </v>
      </c>
      <c r="T28" s="28" t="str">
        <f t="shared" si="1"/>
        <v>Äpfel: 40 g, </v>
      </c>
      <c r="U28" s="28" t="str">
        <f>IF(E28="","",E28)</f>
        <v>Äpfel</v>
      </c>
      <c r="V28" s="28" t="str">
        <f t="shared" si="2"/>
        <v>:</v>
      </c>
      <c r="W28" s="28" t="str">
        <f>IF(J28="","",J28&amp;" €")</f>
        <v>0,85 €</v>
      </c>
      <c r="X28" s="28" t="str">
        <f>IF(AND(U28&lt;&gt;"",U30&lt;&gt;""),", ",IF(AND(U28&lt;&gt;"",U30=""),". ",""))</f>
        <v>, </v>
      </c>
      <c r="Y28" s="28" t="str">
        <f>U28&amp;V28&amp;" "&amp;IF(W28="","",FIXED(W28))&amp;IF(L28="",""," €/"&amp;L28)&amp;X28</f>
        <v>Äpfel: 0,85 €/kg, </v>
      </c>
      <c r="Z28" s="28">
        <f>IF(AB28="","",E28)</f>
      </c>
      <c r="AA28" s="28">
        <f t="shared" si="3"/>
      </c>
      <c r="AB28" s="28">
        <f>IF(G28="","",G28&amp;" g/Stk")</f>
      </c>
      <c r="AC28" s="28">
        <f>IF(OR(AND(AB28&lt;&gt;"",AB30="",$AD$63&lt;&gt;""),AND(AB28&lt;&gt;"",AB30&lt;&gt;"",$AD$63&lt;&gt;"")),", ",IF(AND(AB28&lt;&gt;"",AB30=""),". ",""))</f>
      </c>
      <c r="AD28" s="29">
        <f t="shared" si="4"/>
      </c>
      <c r="AE28" s="5"/>
      <c r="AF28" s="5"/>
      <c r="AG28" s="5"/>
    </row>
    <row r="29" spans="1:33" ht="4.5" customHeight="1">
      <c r="A29" s="6"/>
      <c r="B29" s="6"/>
      <c r="C29" s="6"/>
      <c r="D29" s="26"/>
      <c r="E29" s="6"/>
      <c r="F29" s="6"/>
      <c r="G29" s="6"/>
      <c r="H29" s="6"/>
      <c r="I29" s="6"/>
      <c r="J29" s="36"/>
      <c r="K29" s="6"/>
      <c r="L29" s="6"/>
      <c r="M29" s="6"/>
      <c r="N29" s="304"/>
      <c r="O29" s="6"/>
      <c r="P29" s="27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5"/>
      <c r="AF29" s="5"/>
      <c r="AG29" s="5"/>
    </row>
    <row r="30" spans="1:33" ht="15" customHeight="1">
      <c r="A30" s="6"/>
      <c r="B30" s="30">
        <v>0.1</v>
      </c>
      <c r="C30" s="31" t="s">
        <v>22</v>
      </c>
      <c r="D30" s="26"/>
      <c r="E30" s="21" t="s">
        <v>120</v>
      </c>
      <c r="F30" s="25"/>
      <c r="G30" s="30"/>
      <c r="H30" s="32"/>
      <c r="I30" s="25"/>
      <c r="J30" s="33">
        <v>3.63</v>
      </c>
      <c r="K30" s="34" t="str">
        <f>IF(C30="","","/")</f>
        <v>/</v>
      </c>
      <c r="L30" s="35" t="str">
        <f>IF(C30="","",VLOOKUP(C30,Preise,2,0))</f>
        <v>l</v>
      </c>
      <c r="M30" s="6"/>
      <c r="N30" s="304"/>
      <c r="O30" s="6"/>
      <c r="P30" s="27" t="str">
        <f>IF(E30="","",E30)</f>
        <v>Majonäse</v>
      </c>
      <c r="Q30" s="28" t="str">
        <f t="shared" si="0"/>
        <v>:</v>
      </c>
      <c r="R30" s="28" t="str">
        <f>IF(B30="","",IF(AND(B30&lt;&gt;"",C30="",MOD(B30,1)),TEXT(B30,"?/?"),B30)&amp;IF(C30="",""," "&amp;C30))</f>
        <v>0,1 l</v>
      </c>
      <c r="S30" s="28" t="str">
        <f>IF(AND(P30&lt;&gt;"",P32&lt;&gt;""),", ",IF(AND(P30&lt;&gt;"",P32=""),". ",""))</f>
        <v>, </v>
      </c>
      <c r="T30" s="28" t="str">
        <f t="shared" si="1"/>
        <v>Majonäse: 0,1 l, </v>
      </c>
      <c r="U30" s="28" t="str">
        <f>IF(E30="","",E30)</f>
        <v>Majonäse</v>
      </c>
      <c r="V30" s="28" t="str">
        <f t="shared" si="2"/>
        <v>:</v>
      </c>
      <c r="W30" s="28" t="str">
        <f>IF(J30="","",J30&amp;" €")</f>
        <v>3,63 €</v>
      </c>
      <c r="X30" s="28" t="str">
        <f>IF(AND(U30&lt;&gt;"",U32&lt;&gt;""),", ",IF(AND(U30&lt;&gt;"",U32=""),". ",""))</f>
        <v>, </v>
      </c>
      <c r="Y30" s="28" t="str">
        <f>U30&amp;V30&amp;" "&amp;IF(W30="","",FIXED(W30))&amp;IF(L30="",""," €/"&amp;L30)&amp;X30</f>
        <v>Majonäse: 3,63 €/l, </v>
      </c>
      <c r="Z30" s="28">
        <f>IF(AB30="","",E30)</f>
      </c>
      <c r="AA30" s="28">
        <f t="shared" si="3"/>
      </c>
      <c r="AB30" s="28">
        <f>IF(G30="","",G30&amp;" g/Stk")</f>
      </c>
      <c r="AC30" s="28">
        <f>IF(OR(AND(AB30&lt;&gt;"",AB32="",$AD$63&lt;&gt;""),AND(AB30&lt;&gt;"",AB32&lt;&gt;"",$AD$63&lt;&gt;"")),", ",IF(AND(AB30&lt;&gt;"",AB32=""),". ",""))</f>
      </c>
      <c r="AD30" s="29">
        <f t="shared" si="4"/>
      </c>
      <c r="AE30" s="5"/>
      <c r="AF30" s="5"/>
      <c r="AG30" s="5"/>
    </row>
    <row r="31" spans="1:33" ht="4.5" customHeight="1">
      <c r="A31" s="6"/>
      <c r="B31" s="6"/>
      <c r="C31" s="6"/>
      <c r="D31" s="26"/>
      <c r="E31" s="6"/>
      <c r="F31" s="6"/>
      <c r="G31" s="6"/>
      <c r="H31" s="6"/>
      <c r="I31" s="6"/>
      <c r="J31" s="36"/>
      <c r="K31" s="6"/>
      <c r="L31" s="6"/>
      <c r="M31" s="6"/>
      <c r="N31" s="304"/>
      <c r="O31" s="6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5"/>
      <c r="AF31" s="5"/>
      <c r="AG31" s="5"/>
    </row>
    <row r="32" spans="1:33" ht="15" customHeight="1">
      <c r="A32" s="6"/>
      <c r="B32" s="30">
        <v>0.05</v>
      </c>
      <c r="C32" s="31" t="s">
        <v>22</v>
      </c>
      <c r="D32" s="26"/>
      <c r="E32" s="21" t="s">
        <v>121</v>
      </c>
      <c r="F32" s="25"/>
      <c r="G32" s="30"/>
      <c r="H32" s="32"/>
      <c r="I32" s="25"/>
      <c r="J32" s="33">
        <v>1.8</v>
      </c>
      <c r="K32" s="34" t="str">
        <f>IF(C32="","","/")</f>
        <v>/</v>
      </c>
      <c r="L32" s="35" t="str">
        <f>IF(C32="","",VLOOKUP(C32,Preise,2,0))</f>
        <v>l</v>
      </c>
      <c r="M32" s="6"/>
      <c r="N32" s="304"/>
      <c r="O32" s="6"/>
      <c r="P32" s="27" t="str">
        <f>IF(E32="","",E32)</f>
        <v>Jogurt</v>
      </c>
      <c r="Q32" s="28" t="str">
        <f t="shared" si="0"/>
        <v>:</v>
      </c>
      <c r="R32" s="28" t="str">
        <f>IF(B32="","",IF(AND(B32&lt;&gt;"",C32="",MOD(B32,1)),TEXT(B32,"?/?"),B32)&amp;IF(C32="",""," "&amp;C32))</f>
        <v>0,05 l</v>
      </c>
      <c r="S32" s="28" t="str">
        <f>IF(AND(P32&lt;&gt;"",P34&lt;&gt;""),", ",IF(AND(P32&lt;&gt;"",P34=""),". ",""))</f>
        <v>, </v>
      </c>
      <c r="T32" s="28" t="str">
        <f t="shared" si="1"/>
        <v>Jogurt: 0,05 l, </v>
      </c>
      <c r="U32" s="28" t="str">
        <f>IF(E32="","",E32)</f>
        <v>Jogurt</v>
      </c>
      <c r="V32" s="28" t="str">
        <f t="shared" si="2"/>
        <v>:</v>
      </c>
      <c r="W32" s="28" t="str">
        <f>IF(J32="","",J32&amp;" €")</f>
        <v>1,8 €</v>
      </c>
      <c r="X32" s="28" t="str">
        <f>IF(AND(U32&lt;&gt;"",U34&lt;&gt;""),", ",IF(AND(U32&lt;&gt;"",U34=""),". ",""))</f>
        <v>, </v>
      </c>
      <c r="Y32" s="28" t="str">
        <f>U32&amp;V32&amp;" "&amp;IF(W32="","",FIXED(W32))&amp;IF(L32="",""," €/"&amp;L32)&amp;X32</f>
        <v>Jogurt: 1,80 €/l, </v>
      </c>
      <c r="Z32" s="28">
        <f>IF(AB32="","",E32)</f>
      </c>
      <c r="AA32" s="28">
        <f t="shared" si="3"/>
      </c>
      <c r="AB32" s="28">
        <f>IF(G32="","",G32&amp;" g/Stk")</f>
      </c>
      <c r="AC32" s="28">
        <f>IF(OR(AND(AB32&lt;&gt;"",AB34="",$AD$63&lt;&gt;""),AND(AB32&lt;&gt;"",AB34&lt;&gt;"",$AD$63&lt;&gt;"")),", ",IF(AND(AB32&lt;&gt;"",AB34=""),". ",""))</f>
      </c>
      <c r="AD32" s="29">
        <f t="shared" si="4"/>
      </c>
      <c r="AE32" s="5"/>
      <c r="AF32" s="5"/>
      <c r="AG32" s="5"/>
    </row>
    <row r="33" spans="1:33" ht="4.5" customHeight="1">
      <c r="A33" s="6"/>
      <c r="B33" s="6"/>
      <c r="C33" s="6"/>
      <c r="D33" s="26"/>
      <c r="E33" s="6"/>
      <c r="F33" s="6"/>
      <c r="G33" s="6"/>
      <c r="H33" s="6"/>
      <c r="I33" s="6"/>
      <c r="J33" s="36"/>
      <c r="K33" s="6"/>
      <c r="L33" s="6"/>
      <c r="M33" s="6"/>
      <c r="N33" s="304"/>
      <c r="O33" s="6"/>
      <c r="P33" s="27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5"/>
      <c r="AF33" s="5"/>
      <c r="AG33" s="5"/>
    </row>
    <row r="34" spans="1:33" ht="15" customHeight="1">
      <c r="A34" s="6"/>
      <c r="B34" s="30">
        <v>1</v>
      </c>
      <c r="C34" s="31"/>
      <c r="D34" s="26"/>
      <c r="E34" s="21" t="s">
        <v>122</v>
      </c>
      <c r="F34" s="25"/>
      <c r="G34" s="30"/>
      <c r="H34" s="32"/>
      <c r="I34" s="25"/>
      <c r="J34" s="33">
        <v>0.09</v>
      </c>
      <c r="K34" s="34">
        <f>IF(C34="","","/")</f>
      </c>
      <c r="L34" s="35">
        <f>IF(C34="","",VLOOKUP(C34,Preise,2,0))</f>
      </c>
      <c r="M34" s="6"/>
      <c r="N34" s="304"/>
      <c r="O34" s="6"/>
      <c r="P34" s="27" t="str">
        <f>IF(E34="","",E34)</f>
        <v>Gewürze (Salz, Pfeffer, Senf)</v>
      </c>
      <c r="Q34" s="28" t="str">
        <f t="shared" si="0"/>
        <v>:</v>
      </c>
      <c r="R34" s="28" t="str">
        <f>IF(B34="","",IF(AND(B34&lt;&gt;"",C34="",MOD(B34,1)),TEXT(B34,"?/?"),B34)&amp;IF(C34="",""," "&amp;C34))</f>
        <v>1</v>
      </c>
      <c r="S34" s="28" t="str">
        <f>IF(AND(P34&lt;&gt;"",P36&lt;&gt;""),", ",IF(AND(P34&lt;&gt;"",P36=""),". ",""))</f>
        <v>. </v>
      </c>
      <c r="T34" s="28" t="str">
        <f t="shared" si="1"/>
        <v>Gewürze (Salz, Pfeffer, Senf): 1. </v>
      </c>
      <c r="U34" s="28" t="str">
        <f>IF(E34="","",E34)</f>
        <v>Gewürze (Salz, Pfeffer, Senf)</v>
      </c>
      <c r="V34" s="28" t="str">
        <f t="shared" si="2"/>
        <v>:</v>
      </c>
      <c r="W34" s="28" t="str">
        <f>IF(J34="","",J34&amp;" €")</f>
        <v>0,09 €</v>
      </c>
      <c r="X34" s="28" t="str">
        <f>IF(AND(U34&lt;&gt;"",U36&lt;&gt;""),", ",IF(AND(U34&lt;&gt;"",U36=""),". ",""))</f>
        <v>. </v>
      </c>
      <c r="Y34" s="28" t="str">
        <f>U34&amp;V34&amp;" "&amp;IF(W34="","",FIXED(W34))&amp;IF(L34="",""," €/"&amp;L34)&amp;X34</f>
        <v>Gewürze (Salz, Pfeffer, Senf): 0,09. </v>
      </c>
      <c r="Z34" s="28">
        <f>IF(AB34="","",E34)</f>
      </c>
      <c r="AA34" s="28">
        <f t="shared" si="3"/>
      </c>
      <c r="AB34" s="28">
        <f>IF(G34="","",G34&amp;" g/Stk")</f>
      </c>
      <c r="AC34" s="28">
        <f>IF(OR(AND(AB34&lt;&gt;"",AB36="",$AD$63&lt;&gt;""),AND(AB34&lt;&gt;"",AB36&lt;&gt;"",$AD$63&lt;&gt;"")),", ",IF(AND(AB34&lt;&gt;"",AB36=""),". ",""))</f>
      </c>
      <c r="AD34" s="29">
        <f t="shared" si="4"/>
      </c>
      <c r="AE34" s="5"/>
      <c r="AF34" s="5"/>
      <c r="AG34" s="5"/>
    </row>
    <row r="35" spans="1:33" ht="4.5" customHeight="1">
      <c r="A35" s="6"/>
      <c r="B35" s="6"/>
      <c r="C35" s="6"/>
      <c r="D35" s="26"/>
      <c r="E35" s="6"/>
      <c r="F35" s="6"/>
      <c r="G35" s="6"/>
      <c r="H35" s="6"/>
      <c r="I35" s="6"/>
      <c r="J35" s="36"/>
      <c r="K35" s="6"/>
      <c r="L35" s="6"/>
      <c r="M35" s="6"/>
      <c r="N35" s="304"/>
      <c r="O35" s="6"/>
      <c r="P35" s="2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5"/>
      <c r="AF35" s="5"/>
      <c r="AG35" s="5"/>
    </row>
    <row r="36" spans="1:33" ht="15" customHeight="1">
      <c r="A36" s="6"/>
      <c r="B36" s="30"/>
      <c r="C36" s="31"/>
      <c r="D36" s="26"/>
      <c r="E36" s="21"/>
      <c r="F36" s="25"/>
      <c r="G36" s="30"/>
      <c r="H36" s="32"/>
      <c r="I36" s="25"/>
      <c r="J36" s="33"/>
      <c r="K36" s="34">
        <f>IF(C36="","","/")</f>
      </c>
      <c r="L36" s="35">
        <f>IF(C36="","",VLOOKUP(C36,Preise,2,0))</f>
      </c>
      <c r="M36" s="6"/>
      <c r="N36" s="304"/>
      <c r="O36" s="6"/>
      <c r="P36" s="27">
        <f>IF(E36="","",E36)</f>
      </c>
      <c r="Q36" s="28">
        <f t="shared" si="0"/>
      </c>
      <c r="R36" s="28">
        <f>IF(B36="","",IF(AND(B36&lt;&gt;"",C36="",MOD(B36,1)),TEXT(B36,"?/?"),B36)&amp;IF(C36="",""," "&amp;C36))</f>
      </c>
      <c r="S36" s="28">
        <f>IF(AND(P36&lt;&gt;"",P38&lt;&gt;""),", ",IF(AND(P36&lt;&gt;"",P38=""),". ",""))</f>
      </c>
      <c r="T36" s="28" t="str">
        <f t="shared" si="1"/>
        <v> </v>
      </c>
      <c r="U36" s="28">
        <f>IF(E36="","",E36)</f>
      </c>
      <c r="V36" s="28">
        <f t="shared" si="2"/>
      </c>
      <c r="W36" s="28">
        <f>IF(J36="","",J36&amp;" €")</f>
      </c>
      <c r="X36" s="28">
        <f>IF(AND(U36&lt;&gt;"",U38&lt;&gt;""),", ",IF(AND(U36&lt;&gt;"",U38=""),". ",""))</f>
      </c>
      <c r="Y36" s="28" t="str">
        <f>U36&amp;V36&amp;" "&amp;IF(W36="","",FIXED(W36))&amp;IF(L36="",""," €/"&amp;L36)&amp;X36</f>
        <v> </v>
      </c>
      <c r="Z36" s="28">
        <f>IF(AB36="","",E36)</f>
      </c>
      <c r="AA36" s="28">
        <f t="shared" si="3"/>
      </c>
      <c r="AB36" s="28">
        <f>IF(G36="","",G36&amp;" g/Stk")</f>
      </c>
      <c r="AC36" s="28">
        <f>IF(OR(AND(AB36&lt;&gt;"",AB38="",$AD$63&lt;&gt;""),AND(AB36&lt;&gt;"",AB38&lt;&gt;"",$AD$63&lt;&gt;"")),", ",IF(AND(AB36&lt;&gt;"",AB38=""),". ",""))</f>
      </c>
      <c r="AD36" s="29">
        <f t="shared" si="4"/>
      </c>
      <c r="AE36" s="5"/>
      <c r="AF36" s="5"/>
      <c r="AG36" s="5"/>
    </row>
    <row r="37" spans="1:33" ht="4.5" customHeight="1">
      <c r="A37" s="6"/>
      <c r="B37" s="6"/>
      <c r="C37" s="6"/>
      <c r="D37" s="26"/>
      <c r="E37" s="6"/>
      <c r="F37" s="6"/>
      <c r="G37" s="6"/>
      <c r="H37" s="6"/>
      <c r="I37" s="6"/>
      <c r="J37" s="36"/>
      <c r="K37" s="6"/>
      <c r="L37" s="6"/>
      <c r="M37" s="6"/>
      <c r="N37" s="304"/>
      <c r="O37" s="6"/>
      <c r="P37" s="27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9"/>
      <c r="AE37" s="5"/>
      <c r="AF37" s="5"/>
      <c r="AG37" s="5"/>
    </row>
    <row r="38" spans="1:33" ht="15" customHeight="1">
      <c r="A38" s="6"/>
      <c r="B38" s="30"/>
      <c r="C38" s="31"/>
      <c r="D38" s="26"/>
      <c r="E38" s="21"/>
      <c r="F38" s="25"/>
      <c r="G38" s="30"/>
      <c r="H38" s="32"/>
      <c r="I38" s="25"/>
      <c r="J38" s="33"/>
      <c r="K38" s="34">
        <f>IF(C38="","","/")</f>
      </c>
      <c r="L38" s="35">
        <f>IF(C38="","",VLOOKUP(C38,Preise,2,0))</f>
      </c>
      <c r="M38" s="6"/>
      <c r="N38" s="304"/>
      <c r="O38" s="6"/>
      <c r="P38" s="27">
        <f>IF(E38="","",E38)</f>
      </c>
      <c r="Q38" s="28">
        <f t="shared" si="0"/>
      </c>
      <c r="R38" s="28">
        <f>IF(B38="","",IF(AND(B38&lt;&gt;"",C38="",MOD(B38,1)),TEXT(B38,"?/?"),B38)&amp;IF(C38="",""," "&amp;C38))</f>
      </c>
      <c r="S38" s="28">
        <f>IF(AND(P38&lt;&gt;"",P40&lt;&gt;""),", ",IF(AND(P38&lt;&gt;"",P40=""),". ",""))</f>
      </c>
      <c r="T38" s="28" t="str">
        <f t="shared" si="1"/>
        <v> </v>
      </c>
      <c r="U38" s="28">
        <f>IF(E38="","",E38)</f>
      </c>
      <c r="V38" s="28">
        <f t="shared" si="2"/>
      </c>
      <c r="W38" s="28">
        <f>IF(J38="","",J38&amp;" €")</f>
      </c>
      <c r="X38" s="28">
        <f>IF(AND(U38&lt;&gt;"",U40&lt;&gt;""),", ",IF(AND(U38&lt;&gt;"",U40=""),". ",""))</f>
      </c>
      <c r="Y38" s="28" t="str">
        <f>U38&amp;V38&amp;" "&amp;IF(W38="","",FIXED(W38))&amp;IF(L38="",""," €/"&amp;L38)&amp;X38</f>
        <v> </v>
      </c>
      <c r="Z38" s="28">
        <f>IF(AB38="","",E38)</f>
      </c>
      <c r="AA38" s="28">
        <f t="shared" si="3"/>
      </c>
      <c r="AB38" s="28">
        <f>IF(G38="","",G38&amp;" g/Stk")</f>
      </c>
      <c r="AC38" s="28">
        <f>IF(OR(AND(AB38&lt;&gt;"",AB40="",$AD$63&lt;&gt;""),AND(AB38&lt;&gt;"",AB40&lt;&gt;"",$AD$63&lt;&gt;"")),", ",IF(AND(AB38&lt;&gt;"",AB40=""),". ",""))</f>
      </c>
      <c r="AD38" s="29">
        <f t="shared" si="4"/>
      </c>
      <c r="AE38" s="5"/>
      <c r="AF38" s="5"/>
      <c r="AG38" s="5"/>
    </row>
    <row r="39" spans="1:33" ht="15" customHeight="1">
      <c r="A39" s="6"/>
      <c r="B39" s="6"/>
      <c r="C39" s="6"/>
      <c r="D39" s="26"/>
      <c r="E39" s="6"/>
      <c r="F39" s="6"/>
      <c r="G39" s="6"/>
      <c r="H39" s="6"/>
      <c r="I39" s="6"/>
      <c r="J39" s="36"/>
      <c r="K39" s="6"/>
      <c r="L39" s="6"/>
      <c r="M39" s="6"/>
      <c r="N39" s="304"/>
      <c r="O39" s="6"/>
      <c r="P39" s="27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5"/>
      <c r="AF39" s="5"/>
      <c r="AG39" s="5"/>
    </row>
    <row r="40" spans="1:33" ht="18" customHeight="1">
      <c r="A40" s="6"/>
      <c r="B40" s="19" t="s">
        <v>25</v>
      </c>
      <c r="C40" s="301"/>
      <c r="D40" s="302"/>
      <c r="E40" s="302"/>
      <c r="F40" s="302"/>
      <c r="G40" s="303"/>
      <c r="H40" s="6"/>
      <c r="I40" s="6"/>
      <c r="J40" s="4"/>
      <c r="K40" s="6"/>
      <c r="L40" s="6"/>
      <c r="M40" s="6"/>
      <c r="N40" s="304"/>
      <c r="O40" s="6"/>
      <c r="P40" s="27"/>
      <c r="Q40" s="28"/>
      <c r="R40" s="28"/>
      <c r="S40" s="28"/>
      <c r="T40" s="28"/>
      <c r="U40" s="28"/>
      <c r="V40" s="28"/>
      <c r="W40" s="28"/>
      <c r="X40" s="28"/>
      <c r="Y40" s="28" t="str">
        <f>U40&amp;V40&amp;" "&amp;IF(W40="","",FIXED(W40))&amp;IF(L40="",""," €/"&amp;L40)&amp;X40</f>
        <v> </v>
      </c>
      <c r="Z40" s="28"/>
      <c r="AA40" s="28"/>
      <c r="AB40" s="28"/>
      <c r="AC40" s="28"/>
      <c r="AD40" s="29" t="s">
        <v>23</v>
      </c>
      <c r="AE40" s="5"/>
      <c r="AF40" s="5"/>
      <c r="AG40" s="5"/>
    </row>
    <row r="41" spans="1:33" ht="15">
      <c r="A41" s="6"/>
      <c r="B41" s="25" t="s">
        <v>14</v>
      </c>
      <c r="C41" s="26" t="s">
        <v>15</v>
      </c>
      <c r="D41" s="26"/>
      <c r="E41" s="25" t="s">
        <v>16</v>
      </c>
      <c r="F41" s="25"/>
      <c r="G41" s="25" t="s">
        <v>17</v>
      </c>
      <c r="H41" s="25"/>
      <c r="I41" s="25"/>
      <c r="J41" s="37" t="s">
        <v>18</v>
      </c>
      <c r="K41" s="25"/>
      <c r="L41" s="25"/>
      <c r="M41" s="6"/>
      <c r="N41" s="304"/>
      <c r="O41" s="6"/>
      <c r="P41" s="27">
        <f>IF(C40="","",C40)</f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 t="str">
        <f>Z41&amp;AA41&amp;" "&amp;AB41&amp;AC41</f>
        <v> </v>
      </c>
      <c r="AE41" s="5"/>
      <c r="AF41" s="5"/>
      <c r="AG41" s="5"/>
    </row>
    <row r="42" spans="1:33" ht="15" customHeight="1">
      <c r="A42" s="6"/>
      <c r="B42" s="30"/>
      <c r="C42" s="31"/>
      <c r="D42" s="6"/>
      <c r="E42" s="21"/>
      <c r="F42" s="25"/>
      <c r="G42" s="30"/>
      <c r="H42" s="32">
        <f aca="true" t="shared" si="5" ref="H42:H62">IF(C42="Stk","g","")</f>
      </c>
      <c r="I42" s="25"/>
      <c r="J42" s="33"/>
      <c r="K42" s="34">
        <f>IF(C42="","","/")</f>
      </c>
      <c r="L42" s="35">
        <f>IF(C42="","",IF(AND(C42="St",G42&lt;&gt;""),"kg",VLOOKUP(C42,Preise,2,0)))</f>
      </c>
      <c r="M42" s="6"/>
      <c r="N42" s="304"/>
      <c r="O42" s="6"/>
      <c r="P42" s="27">
        <f>IF(E42="","",E42)</f>
      </c>
      <c r="Q42" s="28">
        <f aca="true" t="shared" si="6" ref="Q42:Q62">IF(P42="","",":")</f>
      </c>
      <c r="R42" s="28">
        <f>IF(B42="","",IF(AND(B42&lt;&gt;"",C42="",MOD(B42,1)),TEXT(B42,"?/?"),B42)&amp;IF(C42="",""," "&amp;C42))</f>
      </c>
      <c r="S42" s="28">
        <f>IF(AND(P42&lt;&gt;"",P44&lt;&gt;""),", ",IF(AND(P42&lt;&gt;"",P44=""),". ",""))</f>
      </c>
      <c r="T42" s="28" t="str">
        <f aca="true" t="shared" si="7" ref="T42:T62">P42&amp;Q42&amp;" "&amp;R42&amp;S42</f>
        <v> </v>
      </c>
      <c r="U42" s="28">
        <f>IF(E42="","",E42)</f>
      </c>
      <c r="V42" s="28">
        <f aca="true" t="shared" si="8" ref="V42:V62">IF(U42="","",":")</f>
      </c>
      <c r="W42" s="28">
        <f>IF(J42="","",J42&amp;" €")</f>
      </c>
      <c r="X42" s="28">
        <f>IF(AND(U42&lt;&gt;"",U44&lt;&gt;""),", ",IF(AND(U42&lt;&gt;"",U44=""),". ",""))</f>
      </c>
      <c r="Y42" s="28" t="str">
        <f>U42&amp;V42&amp;" "&amp;IF(W42="","",FIXED(W42))&amp;IF(L42="",""," €/"&amp;L42)&amp;X42</f>
        <v> </v>
      </c>
      <c r="Z42" s="28">
        <f>IF(AB42="","",E42)</f>
      </c>
      <c r="AA42" s="28">
        <f>IF(AB42="","",":")</f>
      </c>
      <c r="AB42" s="28">
        <f>IF(G42="","",G42&amp;" g/Stk")</f>
      </c>
      <c r="AC42" s="28">
        <f>IF(OR(AND(AB42&lt;&gt;"",AB44="",$AD$63&lt;&gt;""),AND(AB44&lt;&gt;"",AB46&lt;&gt;"",$AD$63&lt;&gt;"")),", ",IF(AND(AB44&lt;&gt;"",AB46=""),". ",""))</f>
      </c>
      <c r="AD42" s="29">
        <f aca="true" t="shared" si="9" ref="AD42:AD62">IF(AB42="","",Z42&amp;AA42&amp;" "&amp;AB42&amp;AC42)</f>
      </c>
      <c r="AE42" s="5"/>
      <c r="AF42" s="5"/>
      <c r="AG42" s="5"/>
    </row>
    <row r="43" spans="1:33" ht="4.5" customHeight="1">
      <c r="A43" s="6"/>
      <c r="B43" s="6"/>
      <c r="C43" s="6"/>
      <c r="D43" s="6"/>
      <c r="E43" s="6"/>
      <c r="F43" s="6"/>
      <c r="G43" s="6"/>
      <c r="H43" s="6"/>
      <c r="I43" s="6"/>
      <c r="J43" s="36"/>
      <c r="K43" s="6"/>
      <c r="L43" s="6"/>
      <c r="M43" s="6"/>
      <c r="N43" s="304"/>
      <c r="O43" s="6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  <c r="AE43" s="5"/>
      <c r="AF43" s="5"/>
      <c r="AG43" s="5"/>
    </row>
    <row r="44" spans="1:33" ht="15" customHeight="1">
      <c r="A44" s="6"/>
      <c r="B44" s="30"/>
      <c r="C44" s="31"/>
      <c r="D44" s="6"/>
      <c r="E44" s="21"/>
      <c r="F44" s="25"/>
      <c r="G44" s="30"/>
      <c r="H44" s="32">
        <f t="shared" si="5"/>
      </c>
      <c r="I44" s="25"/>
      <c r="J44" s="33"/>
      <c r="K44" s="34">
        <f>IF(C44="","","/")</f>
      </c>
      <c r="L44" s="35">
        <f>IF(C44="","",VLOOKUP(C44,Preise,2,0))</f>
      </c>
      <c r="M44" s="6"/>
      <c r="N44" s="304"/>
      <c r="O44" s="6"/>
      <c r="P44" s="27">
        <f>IF(E44="","",E44)</f>
      </c>
      <c r="Q44" s="28">
        <f t="shared" si="6"/>
      </c>
      <c r="R44" s="28">
        <f>IF(B44="","",IF(AND(B44&lt;&gt;"",C44="",MOD(B44,1)),TEXT(B44,"?/?"),B44)&amp;IF(C44="",""," "&amp;C44))</f>
      </c>
      <c r="S44" s="28">
        <f>IF(AND(P44&lt;&gt;"",P46&lt;&gt;""),", ",IF(AND(P44&lt;&gt;"",P46=""),". ",""))</f>
      </c>
      <c r="T44" s="28" t="str">
        <f t="shared" si="7"/>
        <v> </v>
      </c>
      <c r="U44" s="28">
        <f>IF(E44="","",E44)</f>
      </c>
      <c r="V44" s="28">
        <f t="shared" si="8"/>
      </c>
      <c r="W44" s="28">
        <f>IF(J44="","",J44&amp;" €")</f>
      </c>
      <c r="X44" s="28">
        <f>IF(AND(U44&lt;&gt;"",U46&lt;&gt;""),", ",IF(AND(U44&lt;&gt;"",U46=""),". ",""))</f>
      </c>
      <c r="Y44" s="28" t="str">
        <f>U44&amp;V44&amp;" "&amp;IF(W44="","",FIXED(W44))&amp;IF(L44="",""," €/"&amp;L44)&amp;X44</f>
        <v> </v>
      </c>
      <c r="Z44" s="28">
        <f>IF(AB44="","",E44)</f>
      </c>
      <c r="AA44" s="28">
        <f aca="true" t="shared" si="10" ref="AA44:AA62">IF(AB44="","",":")</f>
      </c>
      <c r="AB44" s="28">
        <f aca="true" t="shared" si="11" ref="AB44:AB62">IF(G44="","",G44&amp;" g/Stk")</f>
      </c>
      <c r="AC44" s="28">
        <f>IF(AND(AB44&lt;&gt;"",AB46&lt;&gt;""),", ",IF(AND(AB44&lt;&gt;"",AB46=""),". ",""))</f>
      </c>
      <c r="AD44" s="29">
        <f t="shared" si="9"/>
      </c>
      <c r="AE44" s="5"/>
      <c r="AF44" s="5"/>
      <c r="AG44" s="5"/>
    </row>
    <row r="45" spans="1:33" ht="4.5" customHeight="1">
      <c r="A45" s="6"/>
      <c r="B45" s="6"/>
      <c r="C45" s="6"/>
      <c r="D45" s="6"/>
      <c r="E45" s="6"/>
      <c r="F45" s="6"/>
      <c r="G45" s="6"/>
      <c r="H45" s="6"/>
      <c r="I45" s="6"/>
      <c r="J45" s="36"/>
      <c r="K45" s="6"/>
      <c r="L45" s="6"/>
      <c r="M45" s="6"/>
      <c r="N45" s="304"/>
      <c r="O45" s="6"/>
      <c r="P45" s="27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  <c r="AE45" s="5"/>
      <c r="AF45" s="5"/>
      <c r="AG45" s="5"/>
    </row>
    <row r="46" spans="1:33" ht="15" customHeight="1">
      <c r="A46" s="6"/>
      <c r="B46" s="30"/>
      <c r="C46" s="31"/>
      <c r="D46" s="6"/>
      <c r="E46" s="21"/>
      <c r="F46" s="25"/>
      <c r="G46" s="30"/>
      <c r="H46" s="32">
        <f t="shared" si="5"/>
      </c>
      <c r="I46" s="25"/>
      <c r="J46" s="33"/>
      <c r="K46" s="34">
        <f>IF(C46="","","/")</f>
      </c>
      <c r="L46" s="35">
        <f>IF(C46="","",VLOOKUP(C46,Preise,2,0))</f>
      </c>
      <c r="M46" s="6"/>
      <c r="N46" s="304"/>
      <c r="O46" s="6"/>
      <c r="P46" s="27">
        <f>IF(E46="","",E46)</f>
      </c>
      <c r="Q46" s="28">
        <f t="shared" si="6"/>
      </c>
      <c r="R46" s="28">
        <f>IF(B46="","",IF(AND(B46&lt;&gt;"",C46="",MOD(B46,1)),TEXT(B46,"?/?"),B46)&amp;IF(C46="",""," "&amp;C46))</f>
      </c>
      <c r="S46" s="28">
        <f>IF(AND(P46&lt;&gt;"",P48&lt;&gt;""),", ",IF(AND(P46&lt;&gt;"",P48=""),". ",""))</f>
      </c>
      <c r="T46" s="28" t="str">
        <f t="shared" si="7"/>
        <v> </v>
      </c>
      <c r="U46" s="28">
        <f>IF(E46="","",E46)</f>
      </c>
      <c r="V46" s="28">
        <f t="shared" si="8"/>
      </c>
      <c r="W46" s="28">
        <f>IF(J46="","",J46&amp;" €")</f>
      </c>
      <c r="X46" s="28">
        <f>IF(AND(U46&lt;&gt;"",U48&lt;&gt;""),", ",IF(AND(U46&lt;&gt;"",U48=""),". ",""))</f>
      </c>
      <c r="Y46" s="28" t="str">
        <f>U46&amp;V46&amp;" "&amp;IF(W46="","",FIXED(W46))&amp;IF(L46="",""," €/"&amp;L46)&amp;X46</f>
        <v> </v>
      </c>
      <c r="Z46" s="28">
        <f>IF(AB46="","",E46)</f>
      </c>
      <c r="AA46" s="28">
        <f t="shared" si="10"/>
      </c>
      <c r="AB46" s="28">
        <f t="shared" si="11"/>
      </c>
      <c r="AC46" s="28">
        <f>IF(AND(AB46&lt;&gt;"",AB48&lt;&gt;""),", ",IF(AND(AB46&lt;&gt;"",AB48=""),". ",""))</f>
      </c>
      <c r="AD46" s="29">
        <f t="shared" si="9"/>
      </c>
      <c r="AE46" s="5"/>
      <c r="AF46" s="5"/>
      <c r="AG46" s="5"/>
    </row>
    <row r="47" spans="1:33" ht="4.5" customHeight="1">
      <c r="A47" s="6"/>
      <c r="B47" s="6"/>
      <c r="C47" s="6"/>
      <c r="D47" s="6"/>
      <c r="E47" s="6"/>
      <c r="F47" s="6"/>
      <c r="G47" s="6"/>
      <c r="H47" s="6"/>
      <c r="I47" s="6"/>
      <c r="J47" s="36"/>
      <c r="K47" s="6"/>
      <c r="L47" s="6"/>
      <c r="M47" s="6"/>
      <c r="N47" s="304"/>
      <c r="O47" s="6"/>
      <c r="P47" s="27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9"/>
      <c r="AE47" s="5"/>
      <c r="AF47" s="5"/>
      <c r="AG47" s="5"/>
    </row>
    <row r="48" spans="1:33" ht="15" customHeight="1">
      <c r="A48" s="6"/>
      <c r="B48" s="30"/>
      <c r="C48" s="31"/>
      <c r="D48" s="6"/>
      <c r="E48" s="21"/>
      <c r="F48" s="25"/>
      <c r="G48" s="30"/>
      <c r="H48" s="32">
        <f t="shared" si="5"/>
      </c>
      <c r="I48" s="25"/>
      <c r="J48" s="33"/>
      <c r="K48" s="34">
        <f>IF(C48="","","/")</f>
      </c>
      <c r="L48" s="35">
        <f>IF(C48="","",IF(AND(C48="St",G48&lt;&gt;""),"kg",VLOOKUP(C48,Preise,2,0)))</f>
      </c>
      <c r="M48" s="6"/>
      <c r="N48" s="304"/>
      <c r="O48" s="6"/>
      <c r="P48" s="27">
        <f>IF(E48="","",E48)</f>
      </c>
      <c r="Q48" s="28">
        <f t="shared" si="6"/>
      </c>
      <c r="R48" s="28">
        <f>IF(B48="","",IF(AND(B48&lt;&gt;"",C48="",MOD(B48,1)),TEXT(B48,"?/?"),B48)&amp;IF(C48="",""," "&amp;C48))</f>
      </c>
      <c r="S48" s="28">
        <f>IF(AND(P48&lt;&gt;"",P50&lt;&gt;""),", ",IF(AND(P48&lt;&gt;"",P50=""),". ",""))</f>
      </c>
      <c r="T48" s="28" t="str">
        <f t="shared" si="7"/>
        <v> </v>
      </c>
      <c r="U48" s="28">
        <f>IF(E48="","",E48)</f>
      </c>
      <c r="V48" s="28">
        <f t="shared" si="8"/>
      </c>
      <c r="W48" s="28">
        <f>IF(J48="","",J48&amp;" €")</f>
      </c>
      <c r="X48" s="28">
        <f>IF(AND(U48&lt;&gt;"",U50&lt;&gt;""),", ",IF(AND(U48&lt;&gt;"",U50=""),". ",""))</f>
      </c>
      <c r="Y48" s="28" t="str">
        <f>U48&amp;V48&amp;" "&amp;IF(W48="","",FIXED(W48))&amp;IF(L48="",""," €/"&amp;L48)&amp;X48</f>
        <v> </v>
      </c>
      <c r="Z48" s="28">
        <f>IF(AB48="","",E48)</f>
      </c>
      <c r="AA48" s="28">
        <f t="shared" si="10"/>
      </c>
      <c r="AB48" s="28">
        <f t="shared" si="11"/>
      </c>
      <c r="AC48" s="28">
        <f>IF(AND(AB48&lt;&gt;"",AB50&lt;&gt;""),", ",IF(AND(AB48&lt;&gt;"",AB50=""),". ",""))</f>
      </c>
      <c r="AD48" s="29">
        <f t="shared" si="9"/>
      </c>
      <c r="AE48" s="5"/>
      <c r="AF48" s="5"/>
      <c r="AG48" s="5"/>
    </row>
    <row r="49" spans="1:33" ht="4.5" customHeight="1">
      <c r="A49" s="6"/>
      <c r="B49" s="6"/>
      <c r="C49" s="6"/>
      <c r="D49" s="6"/>
      <c r="E49" s="6"/>
      <c r="F49" s="6"/>
      <c r="G49" s="6"/>
      <c r="H49" s="6"/>
      <c r="I49" s="6"/>
      <c r="J49" s="36"/>
      <c r="K49" s="6"/>
      <c r="L49" s="6"/>
      <c r="M49" s="6"/>
      <c r="N49" s="304"/>
      <c r="O49" s="6"/>
      <c r="P49" s="27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9"/>
      <c r="AE49" s="5"/>
      <c r="AF49" s="5"/>
      <c r="AG49" s="5"/>
    </row>
    <row r="50" spans="1:33" ht="15" customHeight="1">
      <c r="A50" s="6"/>
      <c r="B50" s="30"/>
      <c r="C50" s="31"/>
      <c r="D50" s="6"/>
      <c r="E50" s="21"/>
      <c r="F50" s="25"/>
      <c r="G50" s="30"/>
      <c r="H50" s="32">
        <f t="shared" si="5"/>
      </c>
      <c r="I50" s="25"/>
      <c r="J50" s="33"/>
      <c r="K50" s="34">
        <f>IF(C50="","","/")</f>
      </c>
      <c r="L50" s="35">
        <f>IF(C50="","",VLOOKUP(C50,Preise,2,0))</f>
      </c>
      <c r="M50" s="6"/>
      <c r="N50" s="304"/>
      <c r="O50" s="6"/>
      <c r="P50" s="27">
        <f>IF(E50="","",E50)</f>
      </c>
      <c r="Q50" s="28">
        <f t="shared" si="6"/>
      </c>
      <c r="R50" s="28">
        <f>IF(B50="","",IF(AND(B50&lt;&gt;"",C50="",MOD(B50,1)),TEXT(B50,"?/?"),B50)&amp;IF(C50="",""," "&amp;C50))</f>
      </c>
      <c r="S50" s="28">
        <f>IF(AND(P50&lt;&gt;"",P52&lt;&gt;""),", ",IF(AND(P50&lt;&gt;"",P52=""),". ",""))</f>
      </c>
      <c r="T50" s="28" t="str">
        <f t="shared" si="7"/>
        <v> </v>
      </c>
      <c r="U50" s="28">
        <f>IF(E50="","",E50)</f>
      </c>
      <c r="V50" s="28">
        <f t="shared" si="8"/>
      </c>
      <c r="W50" s="28">
        <f>IF(J50="","",J50&amp;" €")</f>
      </c>
      <c r="X50" s="28">
        <f>IF(AND(U50&lt;&gt;"",U52&lt;&gt;""),", ",IF(AND(U50&lt;&gt;"",U52=""),". ",""))</f>
      </c>
      <c r="Y50" s="28" t="str">
        <f>U50&amp;V50&amp;" "&amp;IF(W50="","",FIXED(W50))&amp;IF(L50="",""," €/"&amp;L50)&amp;X50</f>
        <v> </v>
      </c>
      <c r="Z50" s="28">
        <f>IF(AB50="","",E50)</f>
      </c>
      <c r="AA50" s="28">
        <f t="shared" si="10"/>
      </c>
      <c r="AB50" s="28">
        <f t="shared" si="11"/>
      </c>
      <c r="AC50" s="28">
        <f>IF(AND(AB50&lt;&gt;"",AB52&lt;&gt;""),", ",IF(AND(AB50&lt;&gt;"",AB52=""),". ",""))</f>
      </c>
      <c r="AD50" s="29">
        <f t="shared" si="9"/>
      </c>
      <c r="AE50" s="5"/>
      <c r="AF50" s="5"/>
      <c r="AG50" s="5"/>
    </row>
    <row r="51" spans="1:33" ht="4.5" customHeight="1">
      <c r="A51" s="6"/>
      <c r="B51" s="6"/>
      <c r="C51" s="6"/>
      <c r="D51" s="6"/>
      <c r="E51" s="6"/>
      <c r="F51" s="6"/>
      <c r="G51" s="6"/>
      <c r="H51" s="6"/>
      <c r="I51" s="6"/>
      <c r="J51" s="36"/>
      <c r="K51" s="6"/>
      <c r="L51" s="6"/>
      <c r="M51" s="6"/>
      <c r="N51" s="304"/>
      <c r="O51" s="6"/>
      <c r="P51" s="27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9"/>
      <c r="AE51" s="5"/>
      <c r="AF51" s="5"/>
      <c r="AG51" s="5"/>
    </row>
    <row r="52" spans="1:33" ht="15" customHeight="1">
      <c r="A52" s="6"/>
      <c r="B52" s="30"/>
      <c r="C52" s="31"/>
      <c r="D52" s="6"/>
      <c r="E52" s="21"/>
      <c r="F52" s="25"/>
      <c r="G52" s="30"/>
      <c r="H52" s="32">
        <f t="shared" si="5"/>
      </c>
      <c r="I52" s="25"/>
      <c r="J52" s="33"/>
      <c r="K52" s="34">
        <f>IF(C52="","","/")</f>
      </c>
      <c r="L52" s="35">
        <f>IF(C52="","",VLOOKUP(C52,Preise,2,0))</f>
      </c>
      <c r="M52" s="6"/>
      <c r="N52" s="304"/>
      <c r="O52" s="6"/>
      <c r="P52" s="27">
        <f>IF(E52="","",E52)</f>
      </c>
      <c r="Q52" s="28">
        <f t="shared" si="6"/>
      </c>
      <c r="R52" s="28">
        <f>IF(B52="","",IF(AND(B52&lt;&gt;"",C52="",MOD(B52,1)),TEXT(B52,"?/?"),B52)&amp;IF(C52="",""," "&amp;C52))</f>
      </c>
      <c r="S52" s="28">
        <f>IF(AND(P52&lt;&gt;"",P54&lt;&gt;""),", ",IF(AND(P52&lt;&gt;"",P54=""),". ",""))</f>
      </c>
      <c r="T52" s="28" t="str">
        <f t="shared" si="7"/>
        <v> </v>
      </c>
      <c r="U52" s="28">
        <f>IF(E52="","",E52)</f>
      </c>
      <c r="V52" s="28">
        <f t="shared" si="8"/>
      </c>
      <c r="W52" s="28">
        <f>IF(J52="","",J52&amp;" €")</f>
      </c>
      <c r="X52" s="28">
        <f>IF(AND(U52&lt;&gt;"",U54&lt;&gt;""),", ",IF(AND(U52&lt;&gt;"",U54=""),". ",""))</f>
      </c>
      <c r="Y52" s="28" t="str">
        <f>U52&amp;V52&amp;" "&amp;IF(W52="","",FIXED(W52))&amp;IF(L52="",""," €/"&amp;L52)&amp;X52</f>
        <v> </v>
      </c>
      <c r="Z52" s="28">
        <f>IF(AB52="","",E52)</f>
      </c>
      <c r="AA52" s="28">
        <f t="shared" si="10"/>
      </c>
      <c r="AB52" s="28">
        <f t="shared" si="11"/>
      </c>
      <c r="AC52" s="28">
        <f>IF(AND(AB52&lt;&gt;"",AB54&lt;&gt;""),", ",IF(AND(AB52&lt;&gt;"",AB54=""),". ",""))</f>
      </c>
      <c r="AD52" s="29">
        <f t="shared" si="9"/>
      </c>
      <c r="AE52" s="5"/>
      <c r="AF52" s="5"/>
      <c r="AG52" s="5"/>
    </row>
    <row r="53" spans="1:33" ht="4.5" customHeight="1">
      <c r="A53" s="6"/>
      <c r="B53" s="6"/>
      <c r="C53" s="6"/>
      <c r="D53" s="6"/>
      <c r="E53" s="6"/>
      <c r="F53" s="6"/>
      <c r="G53" s="6"/>
      <c r="H53" s="6"/>
      <c r="I53" s="6"/>
      <c r="J53" s="36"/>
      <c r="K53" s="6"/>
      <c r="L53" s="6"/>
      <c r="M53" s="6"/>
      <c r="N53" s="304"/>
      <c r="O53" s="6"/>
      <c r="P53" s="27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9"/>
      <c r="AE53" s="5"/>
      <c r="AF53" s="5"/>
      <c r="AG53" s="5"/>
    </row>
    <row r="54" spans="1:33" ht="15" customHeight="1">
      <c r="A54" s="6"/>
      <c r="B54" s="30"/>
      <c r="C54" s="31"/>
      <c r="D54" s="6"/>
      <c r="E54" s="21"/>
      <c r="F54" s="25"/>
      <c r="G54" s="30"/>
      <c r="H54" s="32">
        <f t="shared" si="5"/>
      </c>
      <c r="I54" s="25"/>
      <c r="J54" s="33"/>
      <c r="K54" s="34">
        <f>IF(C54="","","/")</f>
      </c>
      <c r="L54" s="35">
        <f>IF(C54="","",VLOOKUP(C54,Preise,2,0))</f>
      </c>
      <c r="M54" s="6"/>
      <c r="N54" s="304"/>
      <c r="O54" s="6"/>
      <c r="P54" s="27">
        <f>IF(E54="","",E54)</f>
      </c>
      <c r="Q54" s="28">
        <f t="shared" si="6"/>
      </c>
      <c r="R54" s="28">
        <f>IF(B54="","",IF(AND(B54&lt;&gt;"",C54="",MOD(B54,1)),TEXT(B54,"?/?"),B54)&amp;IF(C54="",""," "&amp;C54))</f>
      </c>
      <c r="S54" s="28">
        <f>IF(AND(P54&lt;&gt;"",P56&lt;&gt;""),", ",IF(AND(P54&lt;&gt;"",P56=""),". ",""))</f>
      </c>
      <c r="T54" s="28" t="str">
        <f t="shared" si="7"/>
        <v> </v>
      </c>
      <c r="U54" s="28">
        <f>IF(E54="","",E54)</f>
      </c>
      <c r="V54" s="28">
        <f t="shared" si="8"/>
      </c>
      <c r="W54" s="28">
        <f>IF(J54="","",J54&amp;" €")</f>
      </c>
      <c r="X54" s="28">
        <f>IF(AND(U54&lt;&gt;"",U56&lt;&gt;""),", ",IF(AND(U54&lt;&gt;"",U56=""),". ",""))</f>
      </c>
      <c r="Y54" s="28" t="str">
        <f>U54&amp;V54&amp;" "&amp;IF(W54="","",FIXED(W54))&amp;IF(L54="",""," €/"&amp;L54)&amp;X54</f>
        <v> </v>
      </c>
      <c r="Z54" s="28">
        <f>IF(AB54="","",E54)</f>
      </c>
      <c r="AA54" s="28">
        <f t="shared" si="10"/>
      </c>
      <c r="AB54" s="28">
        <f t="shared" si="11"/>
      </c>
      <c r="AC54" s="28">
        <f>IF(AND(AB54&lt;&gt;"",AB56&lt;&gt;""),", ",IF(AND(AB54&lt;&gt;"",AB56=""),". ",""))</f>
      </c>
      <c r="AD54" s="29">
        <f t="shared" si="9"/>
      </c>
      <c r="AE54" s="5"/>
      <c r="AF54" s="5"/>
      <c r="AG54" s="5"/>
    </row>
    <row r="55" spans="1:33" ht="4.5" customHeight="1">
      <c r="A55" s="6"/>
      <c r="B55" s="6"/>
      <c r="C55" s="6"/>
      <c r="D55" s="6"/>
      <c r="E55" s="6"/>
      <c r="F55" s="6"/>
      <c r="G55" s="6"/>
      <c r="H55" s="6"/>
      <c r="I55" s="6"/>
      <c r="J55" s="36"/>
      <c r="K55" s="6"/>
      <c r="L55" s="6"/>
      <c r="M55" s="6"/>
      <c r="N55" s="304"/>
      <c r="O55" s="6"/>
      <c r="P55" s="27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9"/>
      <c r="AE55" s="5"/>
      <c r="AF55" s="5"/>
      <c r="AG55" s="5"/>
    </row>
    <row r="56" spans="1:33" ht="15" customHeight="1">
      <c r="A56" s="6"/>
      <c r="B56" s="30"/>
      <c r="C56" s="31"/>
      <c r="D56" s="6"/>
      <c r="E56" s="21"/>
      <c r="F56" s="25"/>
      <c r="G56" s="30"/>
      <c r="H56" s="32">
        <f t="shared" si="5"/>
      </c>
      <c r="I56" s="25"/>
      <c r="J56" s="33"/>
      <c r="K56" s="34">
        <f>IF(C56="","","/")</f>
      </c>
      <c r="L56" s="35">
        <f>IF(C56="","",VLOOKUP(C56,Preise,2,0))</f>
      </c>
      <c r="M56" s="6"/>
      <c r="N56" s="304"/>
      <c r="O56" s="6"/>
      <c r="P56" s="27">
        <f>IF(E56="","",E56)</f>
      </c>
      <c r="Q56" s="28">
        <f t="shared" si="6"/>
      </c>
      <c r="R56" s="28">
        <f>IF(B56="","",IF(AND(B56&lt;&gt;"",C56="",MOD(B56,1)),TEXT(B56,"?/?"),B56)&amp;IF(C56="",""," "&amp;C56))</f>
      </c>
      <c r="S56" s="28">
        <f>IF(AND(P56&lt;&gt;"",P58&lt;&gt;""),", ",IF(AND(P56&lt;&gt;"",P58=""),". ",""))</f>
      </c>
      <c r="T56" s="28" t="str">
        <f t="shared" si="7"/>
        <v> </v>
      </c>
      <c r="U56" s="28">
        <f>IF(E56="","",E56)</f>
      </c>
      <c r="V56" s="28">
        <f t="shared" si="8"/>
      </c>
      <c r="W56" s="28">
        <f>IF(J56="","",J56&amp;" €")</f>
      </c>
      <c r="X56" s="28">
        <f>IF(AND(U56&lt;&gt;"",U58&lt;&gt;""),", ",IF(AND(U56&lt;&gt;"",U58=""),". ",""))</f>
      </c>
      <c r="Y56" s="28" t="str">
        <f>U56&amp;V56&amp;" "&amp;IF(W56="","",FIXED(W56))&amp;IF(L56="",""," €/"&amp;L56)&amp;X56</f>
        <v> </v>
      </c>
      <c r="Z56" s="28">
        <f>IF(AB56="","",E56)</f>
      </c>
      <c r="AA56" s="28">
        <f t="shared" si="10"/>
      </c>
      <c r="AB56" s="28">
        <f t="shared" si="11"/>
      </c>
      <c r="AC56" s="28">
        <f>IF(AND(AB56&lt;&gt;"",AB58&lt;&gt;""),", ",IF(AND(AB56&lt;&gt;"",AB58=""),". ",""))</f>
      </c>
      <c r="AD56" s="29">
        <f t="shared" si="9"/>
      </c>
      <c r="AE56" s="5"/>
      <c r="AF56" s="5"/>
      <c r="AG56" s="5"/>
    </row>
    <row r="57" spans="1:33" ht="4.5" customHeight="1">
      <c r="A57" s="6"/>
      <c r="B57" s="6"/>
      <c r="C57" s="6"/>
      <c r="D57" s="6"/>
      <c r="E57" s="6"/>
      <c r="F57" s="6"/>
      <c r="G57" s="6"/>
      <c r="H57" s="6"/>
      <c r="I57" s="6"/>
      <c r="J57" s="36"/>
      <c r="K57" s="6"/>
      <c r="L57" s="6"/>
      <c r="M57" s="6"/>
      <c r="N57" s="304"/>
      <c r="O57" s="6"/>
      <c r="P57" s="27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9"/>
      <c r="AE57" s="5"/>
      <c r="AF57" s="5"/>
      <c r="AG57" s="5"/>
    </row>
    <row r="58" spans="1:33" ht="15" customHeight="1">
      <c r="A58" s="6"/>
      <c r="B58" s="30"/>
      <c r="C58" s="31"/>
      <c r="D58" s="6"/>
      <c r="E58" s="21"/>
      <c r="F58" s="25"/>
      <c r="G58" s="30"/>
      <c r="H58" s="32">
        <f t="shared" si="5"/>
      </c>
      <c r="I58" s="25"/>
      <c r="J58" s="33"/>
      <c r="K58" s="34">
        <f>IF(C58="","","/")</f>
      </c>
      <c r="L58" s="35">
        <f>IF(C58="","",VLOOKUP(C58,Preise,2,0))</f>
      </c>
      <c r="M58" s="6"/>
      <c r="N58" s="304"/>
      <c r="O58" s="6"/>
      <c r="P58" s="27">
        <f>IF(E58="","",E58)</f>
      </c>
      <c r="Q58" s="28">
        <f t="shared" si="6"/>
      </c>
      <c r="R58" s="28">
        <f>IF(B58="","",IF(AND(B58&lt;&gt;"",C58="",MOD(B58,1)),TEXT(B58,"?/?"),B58)&amp;IF(C58="",""," "&amp;C58))</f>
      </c>
      <c r="S58" s="28">
        <f>IF(AND(P58&lt;&gt;"",P60&lt;&gt;""),", ",IF(AND(P58&lt;&gt;"",P60=""),". ",""))</f>
      </c>
      <c r="T58" s="28" t="str">
        <f t="shared" si="7"/>
        <v> </v>
      </c>
      <c r="U58" s="28">
        <f>IF(E58="","",E58)</f>
      </c>
      <c r="V58" s="28">
        <f t="shared" si="8"/>
      </c>
      <c r="W58" s="28">
        <f>IF(J58="","",J58&amp;" €")</f>
      </c>
      <c r="X58" s="28">
        <f>IF(AND(U58&lt;&gt;"",U60&lt;&gt;""),", ",IF(AND(U58&lt;&gt;"",U60=""),". ",""))</f>
      </c>
      <c r="Y58" s="28" t="str">
        <f>U58&amp;V58&amp;" "&amp;IF(W58="","",FIXED(W58))&amp;IF(L58="",""," €/"&amp;L58)&amp;X58</f>
        <v> </v>
      </c>
      <c r="Z58" s="28">
        <f>IF(AB58="","",E58)</f>
      </c>
      <c r="AA58" s="28">
        <f t="shared" si="10"/>
      </c>
      <c r="AB58" s="28">
        <f t="shared" si="11"/>
      </c>
      <c r="AC58" s="28">
        <f>IF(AND(AB58&lt;&gt;"",AB60&lt;&gt;""),", ",IF(AND(AB58&lt;&gt;"",AB60=""),". ",""))</f>
      </c>
      <c r="AD58" s="29">
        <f t="shared" si="9"/>
      </c>
      <c r="AE58" s="5"/>
      <c r="AF58" s="5"/>
      <c r="AG58" s="5"/>
    </row>
    <row r="59" spans="1:33" ht="4.5" customHeight="1">
      <c r="A59" s="6"/>
      <c r="B59" s="6"/>
      <c r="C59" s="6"/>
      <c r="D59" s="6"/>
      <c r="E59" s="6"/>
      <c r="F59" s="6"/>
      <c r="G59" s="6"/>
      <c r="H59" s="6"/>
      <c r="I59" s="6"/>
      <c r="J59" s="36"/>
      <c r="K59" s="6"/>
      <c r="L59" s="6"/>
      <c r="M59" s="6"/>
      <c r="N59" s="304"/>
      <c r="O59" s="6"/>
      <c r="P59" s="27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9"/>
      <c r="AE59" s="5"/>
      <c r="AF59" s="5"/>
      <c r="AG59" s="5"/>
    </row>
    <row r="60" spans="1:33" ht="15" customHeight="1">
      <c r="A60" s="6"/>
      <c r="B60" s="30"/>
      <c r="C60" s="31"/>
      <c r="D60" s="6"/>
      <c r="E60" s="21"/>
      <c r="F60" s="25"/>
      <c r="G60" s="30"/>
      <c r="H60" s="32">
        <f t="shared" si="5"/>
      </c>
      <c r="I60" s="25"/>
      <c r="J60" s="33"/>
      <c r="K60" s="34">
        <f>IF(C60="","","/")</f>
      </c>
      <c r="L60" s="35">
        <f>IF(C60="","",VLOOKUP(C60,Preise,2,0))</f>
      </c>
      <c r="M60" s="6"/>
      <c r="N60" s="304"/>
      <c r="O60" s="6"/>
      <c r="P60" s="27">
        <f>IF(E60="","",E60)</f>
      </c>
      <c r="Q60" s="28">
        <f t="shared" si="6"/>
      </c>
      <c r="R60" s="28">
        <f>IF(B60="","",IF(AND(B60&lt;&gt;"",C60="",MOD(B60,1)),TEXT(B60,"?/?"),B60)&amp;IF(C60="",""," "&amp;C60))</f>
      </c>
      <c r="S60" s="28">
        <f>IF(AND(P60&lt;&gt;"",P62&lt;&gt;""),", ",IF(AND(P60&lt;&gt;"",P62=""),". ",""))</f>
      </c>
      <c r="T60" s="28" t="str">
        <f t="shared" si="7"/>
        <v> </v>
      </c>
      <c r="U60" s="28">
        <f>IF(E60="","",E60)</f>
      </c>
      <c r="V60" s="28">
        <f t="shared" si="8"/>
      </c>
      <c r="W60" s="28">
        <f>IF(J60="","",J60&amp;" €")</f>
      </c>
      <c r="X60" s="28">
        <f>IF(AND(U60&lt;&gt;"",U62&lt;&gt;""),", ",IF(AND(U60&lt;&gt;"",U62=""),". ",""))</f>
      </c>
      <c r="Y60" s="28" t="str">
        <f>U60&amp;V60&amp;" "&amp;IF(W60="","",FIXED(W60))&amp;IF(L60="",""," €/"&amp;L60)&amp;X60</f>
        <v> </v>
      </c>
      <c r="Z60" s="28">
        <f>IF(AB60="","",E60)</f>
      </c>
      <c r="AA60" s="28">
        <f t="shared" si="10"/>
      </c>
      <c r="AB60" s="28">
        <f t="shared" si="11"/>
      </c>
      <c r="AC60" s="28">
        <f>IF(AND(AB60&lt;&gt;"",AB62&lt;&gt;""),", ",IF(AND(AB60&lt;&gt;"",AB62=""),". ",""))</f>
      </c>
      <c r="AD60" s="29">
        <f t="shared" si="9"/>
      </c>
      <c r="AE60" s="5"/>
      <c r="AF60" s="5"/>
      <c r="AG60" s="5"/>
    </row>
    <row r="61" spans="1:33" ht="4.5" customHeight="1">
      <c r="A61" s="6"/>
      <c r="B61" s="6"/>
      <c r="C61" s="6"/>
      <c r="D61" s="6"/>
      <c r="E61" s="6"/>
      <c r="F61" s="6"/>
      <c r="G61" s="6"/>
      <c r="H61" s="6"/>
      <c r="I61" s="6"/>
      <c r="J61" s="36"/>
      <c r="K61" s="6"/>
      <c r="L61" s="6"/>
      <c r="M61" s="6"/>
      <c r="N61" s="304"/>
      <c r="O61" s="6"/>
      <c r="P61" s="27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9"/>
      <c r="AE61" s="5"/>
      <c r="AF61" s="5"/>
      <c r="AG61" s="5"/>
    </row>
    <row r="62" spans="1:33" ht="15" customHeight="1">
      <c r="A62" s="6"/>
      <c r="B62" s="30"/>
      <c r="C62" s="31"/>
      <c r="D62" s="6"/>
      <c r="E62" s="21"/>
      <c r="F62" s="25"/>
      <c r="G62" s="30"/>
      <c r="H62" s="32">
        <f t="shared" si="5"/>
      </c>
      <c r="I62" s="25"/>
      <c r="J62" s="33"/>
      <c r="K62" s="34">
        <f>IF(C62="","","/")</f>
      </c>
      <c r="L62" s="35">
        <f>IF(C62="","",VLOOKUP(C62,Preise,2,0))</f>
      </c>
      <c r="M62" s="6"/>
      <c r="N62" s="304"/>
      <c r="O62" s="6"/>
      <c r="P62" s="38">
        <f>IF(E62="","",E62)</f>
      </c>
      <c r="Q62" s="39">
        <f t="shared" si="6"/>
      </c>
      <c r="R62" s="28">
        <f>IF(B62="","",IF(AND(B62&lt;&gt;"",C62="",MOD(B62,1)),TEXT(B62,"?/?"),B62)&amp;IF(C62="",""," "&amp;C62))</f>
      </c>
      <c r="S62" s="39">
        <f>IF(AND(P62&lt;&gt;"",P63&lt;&gt;""),", ",IF(AND(P62&lt;&gt;"",P63=""),". ",""))</f>
      </c>
      <c r="T62" s="39" t="str">
        <f t="shared" si="7"/>
        <v> </v>
      </c>
      <c r="U62" s="39">
        <f>IF(E62="","",E62)</f>
      </c>
      <c r="V62" s="39">
        <f t="shared" si="8"/>
      </c>
      <c r="W62" s="39">
        <f>IF(J62="","",J62&amp;" €")</f>
      </c>
      <c r="X62" s="39">
        <f>IF(AND(U62&lt;&gt;"",U63&lt;&gt;""),", ",IF(AND(U62&lt;&gt;"",U63=""),". ",""))</f>
      </c>
      <c r="Y62" s="39" t="str">
        <f>U62&amp;V62&amp;" "&amp;IF(W62="","",FIXED(W62))&amp;IF(L62="",""," €/"&amp;L62)&amp;X62</f>
        <v> </v>
      </c>
      <c r="Z62" s="39">
        <f>IF(AB62="","",E62)</f>
      </c>
      <c r="AA62" s="39">
        <f t="shared" si="10"/>
      </c>
      <c r="AB62" s="39">
        <f t="shared" si="11"/>
      </c>
      <c r="AC62" s="39">
        <f>IF(AND(AB62&lt;&gt;"",AB63&lt;&gt;""),", ",IF(AND(AB62&lt;&gt;"",AB63=""),". ",""))</f>
      </c>
      <c r="AD62" s="40">
        <f t="shared" si="9"/>
      </c>
      <c r="AE62" s="5"/>
      <c r="AF62" s="5"/>
      <c r="AG62" s="5"/>
    </row>
    <row r="63" spans="1:3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5"/>
      <c r="AF63" s="5"/>
      <c r="AG63" s="5"/>
    </row>
    <row r="64" spans="1:33" ht="15" customHeight="1">
      <c r="A64" s="41" t="s">
        <v>26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2" t="s">
        <v>110</v>
      </c>
      <c r="P64" s="4"/>
      <c r="Q64" s="4"/>
      <c r="R64" s="4"/>
      <c r="S64" s="4"/>
      <c r="T64" s="4"/>
      <c r="U64" s="4"/>
      <c r="V64" s="4"/>
      <c r="W64" s="4"/>
      <c r="X64" s="4"/>
      <c r="Y64" s="43" t="s">
        <v>27</v>
      </c>
      <c r="Z64" s="4"/>
      <c r="AA64" s="4"/>
      <c r="AB64" s="4"/>
      <c r="AC64" s="4"/>
      <c r="AD64" s="4"/>
      <c r="AE64" s="5"/>
      <c r="AF64" s="5"/>
      <c r="AG64" s="5"/>
    </row>
    <row r="65" spans="1:33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4"/>
      <c r="Q65" s="4"/>
      <c r="R65" s="4"/>
      <c r="S65" s="4"/>
      <c r="T65" s="4"/>
      <c r="U65" s="4"/>
      <c r="V65" s="4"/>
      <c r="W65" s="4"/>
      <c r="X65" s="4"/>
      <c r="Y65" s="43" t="s">
        <v>12</v>
      </c>
      <c r="Z65" s="43"/>
      <c r="AA65" s="4"/>
      <c r="AB65" s="4"/>
      <c r="AC65" s="4"/>
      <c r="AD65" s="4"/>
      <c r="AE65" s="5"/>
      <c r="AF65" s="5"/>
      <c r="AG65" s="5"/>
    </row>
    <row r="66" spans="1:32" ht="1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3" t="s">
        <v>28</v>
      </c>
      <c r="Z66" s="43"/>
      <c r="AA66" s="43"/>
      <c r="AB66" s="4"/>
      <c r="AC66" s="4"/>
      <c r="AD66" s="4"/>
      <c r="AE66" s="4"/>
      <c r="AF66" s="4"/>
    </row>
    <row r="67" spans="1:32" ht="15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 t="s">
        <v>19</v>
      </c>
      <c r="Z67" s="4" t="s">
        <v>29</v>
      </c>
      <c r="AA67" s="44">
        <v>1000</v>
      </c>
      <c r="AB67" s="4"/>
      <c r="AC67" s="4"/>
      <c r="AD67" s="4"/>
      <c r="AE67" s="4"/>
      <c r="AF67" s="4"/>
    </row>
    <row r="68" spans="1:32" ht="1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 t="s">
        <v>30</v>
      </c>
      <c r="Z68" s="4" t="s">
        <v>29</v>
      </c>
      <c r="AA68" s="44">
        <v>100</v>
      </c>
      <c r="AB68" s="4"/>
      <c r="AC68" s="4"/>
      <c r="AD68" s="4"/>
      <c r="AE68" s="4"/>
      <c r="AF68" s="4"/>
    </row>
    <row r="69" spans="1:32" ht="1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 t="s">
        <v>29</v>
      </c>
      <c r="Z69" s="4" t="s">
        <v>29</v>
      </c>
      <c r="AA69" s="44">
        <v>1</v>
      </c>
      <c r="AB69" s="4"/>
      <c r="AC69" s="4"/>
      <c r="AD69" s="4"/>
      <c r="AE69" s="4"/>
      <c r="AF69" s="4"/>
    </row>
    <row r="70" spans="1:32" ht="15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 t="s">
        <v>31</v>
      </c>
      <c r="Z70" s="4" t="s">
        <v>22</v>
      </c>
      <c r="AA70" s="44">
        <v>1000</v>
      </c>
      <c r="AB70" s="4"/>
      <c r="AC70" s="4"/>
      <c r="AD70" s="4"/>
      <c r="AE70" s="4"/>
      <c r="AF70" s="4"/>
    </row>
    <row r="71" spans="1:32" ht="15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 t="s">
        <v>32</v>
      </c>
      <c r="Z71" s="4" t="s">
        <v>22</v>
      </c>
      <c r="AA71" s="44">
        <v>100</v>
      </c>
      <c r="AB71" s="4"/>
      <c r="AC71" s="4"/>
      <c r="AD71" s="4"/>
      <c r="AE71" s="4"/>
      <c r="AF71" s="4"/>
    </row>
    <row r="72" spans="1:32" ht="1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 t="s">
        <v>22</v>
      </c>
      <c r="Z72" s="4" t="s">
        <v>22</v>
      </c>
      <c r="AA72" s="44">
        <v>1</v>
      </c>
      <c r="AB72" s="4"/>
      <c r="AC72" s="4"/>
      <c r="AD72" s="4"/>
      <c r="AE72" s="4"/>
      <c r="AF72" s="4"/>
    </row>
    <row r="73" spans="1:32" ht="1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 t="s">
        <v>24</v>
      </c>
      <c r="Z73" s="4" t="s">
        <v>24</v>
      </c>
      <c r="AA73" s="44">
        <v>1</v>
      </c>
      <c r="AB73" s="4"/>
      <c r="AC73" s="4"/>
      <c r="AD73" s="4"/>
      <c r="AE73" s="4"/>
      <c r="AF73" s="4"/>
    </row>
    <row r="74" spans="1:32" ht="12.75" customHeight="1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 t="s">
        <v>33</v>
      </c>
      <c r="Z74" s="4" t="s">
        <v>33</v>
      </c>
      <c r="AA74" s="44">
        <v>1</v>
      </c>
      <c r="AB74" s="4"/>
      <c r="AC74" s="4"/>
      <c r="AD74" s="4"/>
      <c r="AE74" s="4"/>
      <c r="AF74" s="4"/>
    </row>
    <row r="75" spans="1:32" ht="15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4">
        <v>1</v>
      </c>
      <c r="AB75" s="4"/>
      <c r="AC75" s="4"/>
      <c r="AD75" s="4"/>
      <c r="AE75" s="4"/>
      <c r="AF75" s="4"/>
    </row>
    <row r="76" spans="1:32" ht="12.75" customHeight="1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5" t="s">
        <v>21</v>
      </c>
      <c r="Z76" s="46" t="s">
        <v>29</v>
      </c>
      <c r="AA76" s="44">
        <v>1000</v>
      </c>
      <c r="AB76" s="4"/>
      <c r="AC76" s="4"/>
      <c r="AD76" s="4"/>
      <c r="AE76" s="4"/>
      <c r="AF76" s="4"/>
    </row>
    <row r="77" spans="1:32" ht="12.75" customHeight="1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7" t="s">
        <v>34</v>
      </c>
      <c r="Z77" s="46" t="s">
        <v>34</v>
      </c>
      <c r="AA77" s="44">
        <v>1</v>
      </c>
      <c r="AB77" s="4"/>
      <c r="AC77" s="4"/>
      <c r="AD77" s="4"/>
      <c r="AE77" s="4"/>
      <c r="AF77" s="4"/>
    </row>
    <row r="78" spans="1:32" ht="11.2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1.25" customHeight="1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5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3" t="s">
        <v>35</v>
      </c>
      <c r="Z80" s="4"/>
      <c r="AA80" s="4"/>
      <c r="AB80" s="4"/>
      <c r="AC80" s="4"/>
      <c r="AD80" s="4"/>
      <c r="AE80" s="4"/>
      <c r="AF80" s="4"/>
    </row>
    <row r="81" spans="1:32" ht="15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8">
        <v>0.1</v>
      </c>
      <c r="Z81" s="4"/>
      <c r="AA81" s="4"/>
      <c r="AB81" s="4"/>
      <c r="AC81" s="4"/>
      <c r="AD81" s="4"/>
      <c r="AE81" s="4"/>
      <c r="AF81" s="4"/>
    </row>
    <row r="82" spans="1:32" ht="15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8">
        <v>0.12</v>
      </c>
      <c r="Z82" s="4"/>
      <c r="AA82" s="4"/>
      <c r="AB82" s="4"/>
      <c r="AC82" s="4"/>
      <c r="AD82" s="4"/>
      <c r="AE82" s="4"/>
      <c r="AF82" s="4"/>
    </row>
    <row r="83" spans="1:32" ht="15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8">
        <v>0.125</v>
      </c>
      <c r="Z83" s="4"/>
      <c r="AA83" s="4"/>
      <c r="AB83" s="4"/>
      <c r="AC83" s="4"/>
      <c r="AD83" s="4"/>
      <c r="AE83" s="4"/>
      <c r="AF83" s="4"/>
    </row>
    <row r="84" spans="1:32" ht="15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8">
        <v>0.15</v>
      </c>
      <c r="Z84" s="4"/>
      <c r="AA84" s="4"/>
      <c r="AB84" s="4"/>
      <c r="AC84" s="4"/>
      <c r="AD84" s="4"/>
      <c r="AE84" s="4"/>
      <c r="AF84" s="4"/>
    </row>
    <row r="85" spans="1:32" ht="11.25" customHeight="1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5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3" t="s">
        <v>36</v>
      </c>
      <c r="Z86" s="4"/>
      <c r="AA86" s="4"/>
      <c r="AB86" s="4"/>
      <c r="AC86" s="4"/>
      <c r="AD86" s="4"/>
      <c r="AE86" s="4"/>
      <c r="AF86" s="4"/>
    </row>
    <row r="87" spans="1:32" ht="15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8">
        <v>0.1</v>
      </c>
      <c r="Z87" s="4"/>
      <c r="AA87" s="4"/>
      <c r="AB87" s="4"/>
      <c r="AC87" s="4"/>
      <c r="AD87" s="4"/>
      <c r="AE87" s="4"/>
      <c r="AF87" s="4"/>
    </row>
    <row r="88" spans="1:32" ht="15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8">
        <v>0.12</v>
      </c>
      <c r="Z88" s="4"/>
      <c r="AA88" s="4"/>
      <c r="AB88" s="4"/>
      <c r="AC88" s="4"/>
      <c r="AD88" s="4"/>
      <c r="AE88" s="4"/>
      <c r="AF88" s="4"/>
    </row>
    <row r="89" spans="1:32" ht="15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8">
        <v>0.2</v>
      </c>
      <c r="Z89" s="4"/>
      <c r="AA89" s="4"/>
      <c r="AB89" s="4"/>
      <c r="AC89" s="4"/>
      <c r="AD89" s="4"/>
      <c r="AE89" s="4"/>
      <c r="AF89" s="4"/>
    </row>
  </sheetData>
  <sheetProtection sheet="1" objects="1" scenarios="1" selectLockedCells="1"/>
  <mergeCells count="4">
    <mergeCell ref="M1:O1"/>
    <mergeCell ref="C14:G14"/>
    <mergeCell ref="N16:N62"/>
    <mergeCell ref="C40:G40"/>
  </mergeCells>
  <conditionalFormatting sqref="G16:H16 G18:H18 G20:H20 G22:H22 G24:H24 G26:H26 G28:H28 G30:H30 G32:H32 G34:H34 G36:H36 G38:H38 G42:H42 G44:H44 G46:H46 G48:H48 G50:H50 G52:H52 G54:H54 G56:H56 G58:H58 G60:H60 G62:H62">
    <cfRule type="expression" priority="1" dxfId="39">
      <formula>$C16&lt;&gt;"Stk"</formula>
    </cfRule>
  </conditionalFormatting>
  <dataValidations count="3">
    <dataValidation type="list" allowBlank="1" showInputMessage="1" showErrorMessage="1" sqref="M10">
      <formula1>USt</formula1>
    </dataValidation>
    <dataValidation type="list" allowBlank="1" showInputMessage="1" showErrorMessage="1" sqref="M12">
      <formula1>Bediengeld</formula1>
    </dataValidation>
    <dataValidation type="list" allowBlank="1" showInputMessage="1" showErrorMessage="1" sqref="C16:C38 C42:C62">
      <formula1>Einheiten</formula1>
    </dataValidation>
  </dataValidations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FF0000"/>
  </sheetPr>
  <dimension ref="A1:Q47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B4" sqref="B4:C4"/>
      <selection pane="bottomLeft" activeCell="K7" sqref="K7"/>
    </sheetView>
  </sheetViews>
  <sheetFormatPr defaultColWidth="0" defaultRowHeight="11.25" customHeight="1" zeroHeight="1"/>
  <cols>
    <col min="1" max="1" width="1.7109375" style="0" customWidth="1"/>
    <col min="2" max="2" width="6.7109375" style="0" customWidth="1"/>
    <col min="3" max="3" width="3.7109375" style="0" customWidth="1"/>
    <col min="4" max="4" width="14.7109375" style="0" customWidth="1"/>
    <col min="5" max="6" width="7.7109375" style="0" customWidth="1"/>
    <col min="7" max="7" width="3.7109375" style="0" customWidth="1"/>
    <col min="8" max="9" width="7.7109375" style="0" customWidth="1"/>
    <col min="10" max="10" width="3.7109375" style="0" customWidth="1"/>
    <col min="11" max="12" width="7.7109375" style="0" customWidth="1"/>
    <col min="13" max="13" width="3.7109375" style="0" customWidth="1"/>
    <col min="14" max="14" width="7.7109375" style="0" customWidth="1"/>
    <col min="15" max="15" width="1.7109375" style="0" customWidth="1"/>
    <col min="16" max="16" width="25.7109375" style="0" customWidth="1"/>
    <col min="17" max="17" width="20.7109375" style="0" customWidth="1"/>
    <col min="18" max="16384" width="11.421875" style="0" hidden="1" customWidth="1"/>
  </cols>
  <sheetData>
    <row r="1" spans="1:17" ht="30" customHeight="1">
      <c r="A1" s="49"/>
      <c r="B1" s="50">
        <v>32</v>
      </c>
      <c r="C1" s="51" t="s">
        <v>37</v>
      </c>
      <c r="D1" s="52" t="str">
        <f>IF(Dateneingabe!C9="","",Dateneingabe!C9)</f>
        <v>Salade russe 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30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3"/>
    </row>
    <row r="3" spans="1:17" ht="15.75">
      <c r="A3" s="4"/>
      <c r="B3" s="350"/>
      <c r="C3" s="351"/>
      <c r="D3" s="352"/>
      <c r="E3" s="353"/>
      <c r="F3" s="56"/>
      <c r="G3" s="57"/>
      <c r="H3" s="58" t="s">
        <v>5</v>
      </c>
      <c r="I3" s="357" t="s">
        <v>5</v>
      </c>
      <c r="J3" s="358"/>
      <c r="K3" s="359"/>
      <c r="L3" s="357" t="s">
        <v>5</v>
      </c>
      <c r="M3" s="358"/>
      <c r="N3" s="359"/>
      <c r="O3" s="4"/>
      <c r="P3" s="54"/>
      <c r="Q3" s="53"/>
    </row>
    <row r="4" spans="1:17" ht="36" customHeight="1">
      <c r="A4" s="54"/>
      <c r="B4" s="354"/>
      <c r="C4" s="355"/>
      <c r="D4" s="355"/>
      <c r="E4" s="356"/>
      <c r="F4" s="360">
        <f>IF(Dateneingabe!E10="","",Dateneingabe!E10)</f>
        <v>40935</v>
      </c>
      <c r="G4" s="361"/>
      <c r="H4" s="362"/>
      <c r="I4" s="360">
        <f>IF(F4="","",F4+367)</f>
        <v>41302</v>
      </c>
      <c r="J4" s="361"/>
      <c r="K4" s="362"/>
      <c r="L4" s="363"/>
      <c r="M4" s="364"/>
      <c r="N4" s="365"/>
      <c r="O4" s="54"/>
      <c r="P4" s="54"/>
      <c r="Q4" s="53"/>
    </row>
    <row r="5" spans="1:17" ht="39.75" customHeight="1">
      <c r="A5" s="59"/>
      <c r="B5" s="60" t="s">
        <v>38</v>
      </c>
      <c r="C5" s="61"/>
      <c r="D5" s="62">
        <f>IF(Dateneingabe!E12="","",Dateneingabe!E12)</f>
        <v>1</v>
      </c>
      <c r="E5" s="63" t="s">
        <v>39</v>
      </c>
      <c r="F5" s="344" t="s">
        <v>40</v>
      </c>
      <c r="G5" s="345"/>
      <c r="H5" s="64" t="s">
        <v>41</v>
      </c>
      <c r="I5" s="344" t="s">
        <v>40</v>
      </c>
      <c r="J5" s="345"/>
      <c r="K5" s="64" t="s">
        <v>41</v>
      </c>
      <c r="L5" s="344" t="s">
        <v>40</v>
      </c>
      <c r="M5" s="345"/>
      <c r="N5" s="64" t="s">
        <v>41</v>
      </c>
      <c r="O5" s="59"/>
      <c r="P5" s="65" t="s">
        <v>42</v>
      </c>
      <c r="Q5" s="53"/>
    </row>
    <row r="6" spans="1:17" ht="22.5" customHeight="1" thickBot="1">
      <c r="A6" s="59"/>
      <c r="B6" s="67" t="s">
        <v>9</v>
      </c>
      <c r="C6" s="68"/>
      <c r="D6" s="69" t="str">
        <f>IF(Dateneingabe!C14="","",Dateneingabe!C14)</f>
        <v>Salade russe</v>
      </c>
      <c r="E6" s="68"/>
      <c r="F6" s="68"/>
      <c r="G6" s="68"/>
      <c r="H6" s="68"/>
      <c r="I6" s="70"/>
      <c r="J6" s="71"/>
      <c r="K6" s="71"/>
      <c r="L6" s="70"/>
      <c r="M6" s="68"/>
      <c r="N6" s="72"/>
      <c r="O6" s="59"/>
      <c r="P6" s="73"/>
      <c r="Q6" s="53"/>
    </row>
    <row r="7" spans="1:17" ht="16.5" customHeight="1" thickBot="1">
      <c r="A7" s="59"/>
      <c r="B7" s="74">
        <f>IF(Dateneingabe!B16="","",Dateneingabe!B16)</f>
        <v>40</v>
      </c>
      <c r="C7" s="75" t="str">
        <f>IF(Dateneingabe!C16="","",Dateneingabe!C16)</f>
        <v>g</v>
      </c>
      <c r="D7" s="76" t="str">
        <f>IF(Dateneingabe!E16="","",Dateneingabe!E16)</f>
        <v>Karotten</v>
      </c>
      <c r="E7" s="77">
        <f>IF(Dateneingabe!G16="","",Dateneingabe!G16)</f>
      </c>
      <c r="F7" s="78">
        <f>IF($F$4="","",IF(Dateneingabe!J16="","",ROUND(Dateneingabe!J16,2)))</f>
        <v>0.9</v>
      </c>
      <c r="G7" s="79" t="str">
        <f>IF($F$4="","",IF(Dateneingabe!J16="","",Dateneingabe!K16&amp;" "&amp;Dateneingabe!L16))</f>
        <v>/ kg</v>
      </c>
      <c r="H7" s="80">
        <f aca="true" t="shared" si="0" ref="H7:H18">IF(OR(F$4="",F7="",$B7=""),"",IF($E7&lt;&gt;"",$B7*$E7/1000*F7,$B7/IF($C7="",1,VLOOKUP($C7,Faktor,3,0))*F7))</f>
        <v>0.036000000000000004</v>
      </c>
      <c r="I7" s="78">
        <f>IF($I$4="","",IF(F7="","",ROUND(F7*(1+$I$46*Dateneingabe!$G$5),2)))</f>
        <v>0.96</v>
      </c>
      <c r="J7" s="81" t="str">
        <f>IF($I$4="","",IF(Dateneingabe!J16="","",Dateneingabe!K16&amp;" "&amp;Dateneingabe!L16))</f>
        <v>/ kg</v>
      </c>
      <c r="K7" s="82"/>
      <c r="L7" s="78">
        <f>IF($L$4="","",IF(F7="","",ROUND(F7*(1+$L$46*Dateneingabe!$G$5),2)))</f>
      </c>
      <c r="M7" s="79">
        <f>IF($L$4="","",IF(Dateneingabe!J16="","",Dateneingabe!K16&amp;" "&amp;Dateneingabe!L16))</f>
      </c>
      <c r="N7" s="80">
        <f aca="true" t="shared" si="1" ref="N7:N18">IF(OR(L$4="",L7="",$B7=""),"",IF($E7&lt;&gt;"",$B7*$E7/1000*L7,$B7/IF($C7="",1,VLOOKUP($C7,Faktor,3,0))*L7))</f>
      </c>
      <c r="O7" s="59"/>
      <c r="P7" s="73"/>
      <c r="Q7" s="53"/>
    </row>
    <row r="8" spans="1:17" ht="16.5" customHeight="1" thickBot="1">
      <c r="A8" s="59"/>
      <c r="B8" s="74">
        <f>IF(Dateneingabe!B18="","",Dateneingabe!B18)</f>
        <v>40</v>
      </c>
      <c r="C8" s="83" t="str">
        <f>IF(Dateneingabe!C18="","",Dateneingabe!C18)</f>
        <v>g</v>
      </c>
      <c r="D8" s="84" t="str">
        <f>IF(Dateneingabe!E18="","",Dateneingabe!E18)</f>
        <v>Sellerie</v>
      </c>
      <c r="E8" s="77">
        <f>IF(Dateneingabe!G18="","",Dateneingabe!G18)</f>
      </c>
      <c r="F8" s="78">
        <f>IF($F$4="","",IF(Dateneingabe!J18="","",ROUND(Dateneingabe!J18,2)))</f>
        <v>1.6</v>
      </c>
      <c r="G8" s="85" t="str">
        <f>IF($F$4="","",IF(Dateneingabe!J18="","",Dateneingabe!K18&amp;" "&amp;Dateneingabe!L18))</f>
        <v>/ kg</v>
      </c>
      <c r="H8" s="86">
        <f t="shared" si="0"/>
        <v>0.064</v>
      </c>
      <c r="I8" s="78">
        <f>IF($I$4="","",IF(F8="","",ROUND(F8*(1+$I$46*Dateneingabe!$G$5),2)))</f>
        <v>1.71</v>
      </c>
      <c r="J8" s="87" t="str">
        <f>IF($I$4="","",IF(Dateneingabe!J18="","",Dateneingabe!K18&amp;" "&amp;Dateneingabe!L18))</f>
        <v>/ kg</v>
      </c>
      <c r="K8" s="82"/>
      <c r="L8" s="78">
        <f>IF($L$4="","",IF(F8="","",ROUND(F8*(1+$L$46*Dateneingabe!$G$5),2)))</f>
      </c>
      <c r="M8" s="85">
        <f>IF($L$4="","",IF(Dateneingabe!J18="","",Dateneingabe!K18&amp;" "&amp;Dateneingabe!L18))</f>
      </c>
      <c r="N8" s="86">
        <f t="shared" si="1"/>
      </c>
      <c r="O8" s="59"/>
      <c r="P8" s="73"/>
      <c r="Q8" s="53"/>
    </row>
    <row r="9" spans="1:17" ht="16.5" customHeight="1" thickBot="1">
      <c r="A9" s="59"/>
      <c r="B9" s="74">
        <f>IF(Dateneingabe!B20="","",Dateneingabe!B20)</f>
        <v>40</v>
      </c>
      <c r="C9" s="83" t="str">
        <f>IF(Dateneingabe!C20="","",Dateneingabe!C20)</f>
        <v>g</v>
      </c>
      <c r="D9" s="84" t="str">
        <f>IF(Dateneingabe!E20="","",Dateneingabe!E20)</f>
        <v>grüne Bohnen</v>
      </c>
      <c r="E9" s="77">
        <f>IF(Dateneingabe!G20="","",Dateneingabe!G20)</f>
      </c>
      <c r="F9" s="78">
        <f>IF($F$4="","",IF(Dateneingabe!J20="","",ROUND(Dateneingabe!J20,2)))</f>
        <v>0.92</v>
      </c>
      <c r="G9" s="85" t="str">
        <f>IF($F$4="","",IF(Dateneingabe!J20="","",Dateneingabe!K20&amp;" "&amp;Dateneingabe!L20))</f>
        <v>/ kg</v>
      </c>
      <c r="H9" s="86">
        <f t="shared" si="0"/>
        <v>0.0368</v>
      </c>
      <c r="I9" s="78">
        <f>IF($I$4="","",IF(F9="","",ROUND(F9*(1+$I$46*Dateneingabe!$G$5),2)))</f>
        <v>0.98</v>
      </c>
      <c r="J9" s="87" t="str">
        <f>IF($I$4="","",IF(Dateneingabe!J20="","",Dateneingabe!K20&amp;" "&amp;Dateneingabe!L20))</f>
        <v>/ kg</v>
      </c>
      <c r="K9" s="82"/>
      <c r="L9" s="78">
        <f>IF($L$4="","",IF(F9="","",ROUND(F9*(1+$L$46*Dateneingabe!$G$5),2)))</f>
      </c>
      <c r="M9" s="85">
        <f>IF($L$4="","",IF(Dateneingabe!J20="","",Dateneingabe!K20&amp;" "&amp;Dateneingabe!L20))</f>
      </c>
      <c r="N9" s="86">
        <f t="shared" si="1"/>
      </c>
      <c r="O9" s="59"/>
      <c r="P9" s="73"/>
      <c r="Q9" s="53"/>
    </row>
    <row r="10" spans="1:17" ht="16.5" customHeight="1" thickBot="1">
      <c r="A10" s="59"/>
      <c r="B10" s="74">
        <f>IF(Dateneingabe!B22="","",Dateneingabe!B22)</f>
        <v>40</v>
      </c>
      <c r="C10" s="88" t="str">
        <f>IF(Dateneingabe!C22="","",Dateneingabe!C22)</f>
        <v>g</v>
      </c>
      <c r="D10" s="84" t="str">
        <f>IF(Dateneingabe!E22="","",Dateneingabe!E22)</f>
        <v>Kartoffel, gekocht</v>
      </c>
      <c r="E10" s="77">
        <f>IF(Dateneingabe!G22="","",Dateneingabe!G22)</f>
      </c>
      <c r="F10" s="78">
        <f>IF($F$4="","",IF(Dateneingabe!J22="","",ROUND(Dateneingabe!J22,2)))</f>
        <v>0.72</v>
      </c>
      <c r="G10" s="85" t="str">
        <f>IF($F$4="","",IF(Dateneingabe!J22="","",Dateneingabe!K22&amp;" "&amp;Dateneingabe!L22))</f>
        <v>/ kg</v>
      </c>
      <c r="H10" s="86">
        <f t="shared" si="0"/>
        <v>0.0288</v>
      </c>
      <c r="I10" s="78">
        <f>IF($I$4="","",IF(F10="","",ROUND(F10*(1+$I$46*Dateneingabe!$G$5),2)))</f>
        <v>0.77</v>
      </c>
      <c r="J10" s="87" t="str">
        <f>IF($I$4="","",IF(Dateneingabe!J22="","",Dateneingabe!K22&amp;" "&amp;Dateneingabe!L22))</f>
        <v>/ kg</v>
      </c>
      <c r="K10" s="82"/>
      <c r="L10" s="78">
        <f>IF($L$4="","",IF(F10="","",ROUND(F10*(1+$L$46*Dateneingabe!$G$5),2)))</f>
      </c>
      <c r="M10" s="85">
        <f>IF($L$4="","",IF(Dateneingabe!J22="","",Dateneingabe!K22&amp;" "&amp;Dateneingabe!L22))</f>
      </c>
      <c r="N10" s="86">
        <f t="shared" si="1"/>
      </c>
      <c r="O10" s="59"/>
      <c r="P10" s="73"/>
      <c r="Q10" s="53"/>
    </row>
    <row r="11" spans="1:17" ht="16.5" customHeight="1" thickBot="1">
      <c r="A11" s="59"/>
      <c r="B11" s="74">
        <f>IF(Dateneingabe!B24="","",Dateneingabe!B24)</f>
        <v>40</v>
      </c>
      <c r="C11" s="83" t="str">
        <f>IF(Dateneingabe!C24="","",Dateneingabe!C24)</f>
        <v>g</v>
      </c>
      <c r="D11" s="84" t="str">
        <f>IF(Dateneingabe!E24="","",Dateneingabe!E24)</f>
        <v>Erbsen, gekocht</v>
      </c>
      <c r="E11" s="77">
        <f>IF(Dateneingabe!G24="","",Dateneingabe!G24)</f>
      </c>
      <c r="F11" s="78">
        <f>IF($F$4="","",IF(Dateneingabe!J24="","",ROUND(Dateneingabe!J24,2)))</f>
        <v>1.18</v>
      </c>
      <c r="G11" s="79" t="str">
        <f>IF($F$4="","",IF(Dateneingabe!J24="","",Dateneingabe!K24&amp;" "&amp;Dateneingabe!L24))</f>
        <v>/ kg</v>
      </c>
      <c r="H11" s="86">
        <f t="shared" si="0"/>
        <v>0.0472</v>
      </c>
      <c r="I11" s="78">
        <f>IF($I$4="","",IF(F11="","",ROUND(F11*(1+$I$46*Dateneingabe!$G$5),2)))</f>
        <v>1.26</v>
      </c>
      <c r="J11" s="81" t="str">
        <f>IF($I$4="","",IF(Dateneingabe!J24="","",Dateneingabe!K24&amp;" "&amp;Dateneingabe!L24))</f>
        <v>/ kg</v>
      </c>
      <c r="K11" s="82"/>
      <c r="L11" s="78">
        <f>IF($L$4="","",IF(F11="","",ROUND(F11*(1+$L$46*Dateneingabe!$G$5),2)))</f>
      </c>
      <c r="M11" s="79">
        <f>IF($L$4="","",IF(Dateneingabe!J24="","",Dateneingabe!K24&amp;" "&amp;Dateneingabe!L24))</f>
      </c>
      <c r="N11" s="86">
        <f t="shared" si="1"/>
      </c>
      <c r="O11" s="59"/>
      <c r="P11" s="73"/>
      <c r="Q11" s="53"/>
    </row>
    <row r="12" spans="1:17" ht="16.5" customHeight="1" thickBot="1">
      <c r="A12" s="59"/>
      <c r="B12" s="74">
        <f>IF(Dateneingabe!B26="","",Dateneingabe!B26)</f>
        <v>40</v>
      </c>
      <c r="C12" s="83" t="str">
        <f>IF(Dateneingabe!C26="","",Dateneingabe!C26)</f>
        <v>g</v>
      </c>
      <c r="D12" s="84" t="str">
        <f>IF(Dateneingabe!E26="","",Dateneingabe!E26)</f>
        <v>Essiggurken</v>
      </c>
      <c r="E12" s="77">
        <f>IF(Dateneingabe!G26="","",Dateneingabe!G26)</f>
      </c>
      <c r="F12" s="78">
        <f>IF($F$4="","",IF(Dateneingabe!J26="","",ROUND(Dateneingabe!J26,2)))</f>
        <v>4.1</v>
      </c>
      <c r="G12" s="85" t="str">
        <f>IF($F$4="","",IF(Dateneingabe!J26="","",Dateneingabe!K26&amp;" "&amp;Dateneingabe!L26))</f>
        <v>/ kg</v>
      </c>
      <c r="H12" s="86">
        <f t="shared" si="0"/>
        <v>0.16399999999999998</v>
      </c>
      <c r="I12" s="78">
        <f>IF($I$4="","",IF(F12="","",ROUND(F12*(1+$I$46*Dateneingabe!$G$5),2)))</f>
        <v>4.38</v>
      </c>
      <c r="J12" s="87" t="str">
        <f>IF($I$4="","",IF(Dateneingabe!J26="","",Dateneingabe!K26&amp;" "&amp;Dateneingabe!L26))</f>
        <v>/ kg</v>
      </c>
      <c r="K12" s="82"/>
      <c r="L12" s="78">
        <f>IF($L$4="","",IF(F12="","",ROUND(F12*(1+$L$46*Dateneingabe!$G$5),2)))</f>
      </c>
      <c r="M12" s="85">
        <f>IF($L$4="","",IF(Dateneingabe!J26="","",Dateneingabe!K26&amp;" "&amp;Dateneingabe!L26))</f>
      </c>
      <c r="N12" s="86">
        <f t="shared" si="1"/>
      </c>
      <c r="O12" s="59"/>
      <c r="P12" s="73"/>
      <c r="Q12" s="53"/>
    </row>
    <row r="13" spans="1:17" ht="16.5" customHeight="1" thickBot="1">
      <c r="A13" s="59"/>
      <c r="B13" s="74">
        <f>IF(Dateneingabe!B28="","",Dateneingabe!B28)</f>
        <v>40</v>
      </c>
      <c r="C13" s="88" t="str">
        <f>IF(Dateneingabe!C28="","",Dateneingabe!C28)</f>
        <v>g</v>
      </c>
      <c r="D13" s="84" t="str">
        <f>IF(Dateneingabe!E28="","",Dateneingabe!E28)</f>
        <v>Äpfel</v>
      </c>
      <c r="E13" s="77">
        <f>IF(Dateneingabe!G28="","",Dateneingabe!G28)</f>
      </c>
      <c r="F13" s="78">
        <f>IF($F$4="","",IF(Dateneingabe!J28="","",ROUND(Dateneingabe!J28,2)))</f>
        <v>0.85</v>
      </c>
      <c r="G13" s="85" t="str">
        <f>IF($F$4="","",IF(Dateneingabe!J28="","",Dateneingabe!K28&amp;" "&amp;Dateneingabe!L28))</f>
        <v>/ kg</v>
      </c>
      <c r="H13" s="86">
        <f t="shared" si="0"/>
        <v>0.034</v>
      </c>
      <c r="I13" s="78">
        <f>IF($I$4="","",IF(F13="","",ROUND(F13*(1+$I$46*Dateneingabe!$G$5),2)))</f>
        <v>0.91</v>
      </c>
      <c r="J13" s="87" t="str">
        <f>IF($I$4="","",IF(Dateneingabe!J28="","",Dateneingabe!K28&amp;" "&amp;Dateneingabe!L28))</f>
        <v>/ kg</v>
      </c>
      <c r="K13" s="82"/>
      <c r="L13" s="78">
        <f>IF($L$4="","",IF(F13="","",ROUND(F13*(1+$L$46*Dateneingabe!$G$5),2)))</f>
      </c>
      <c r="M13" s="85">
        <f>IF($L$4="","",IF(Dateneingabe!J28="","",Dateneingabe!K28&amp;" "&amp;Dateneingabe!L28))</f>
      </c>
      <c r="N13" s="86">
        <f t="shared" si="1"/>
      </c>
      <c r="O13" s="59"/>
      <c r="P13" s="73"/>
      <c r="Q13" s="53"/>
    </row>
    <row r="14" spans="1:17" ht="16.5" customHeight="1" thickBot="1">
      <c r="A14" s="59"/>
      <c r="B14" s="74">
        <f>IF(Dateneingabe!B30="","",Dateneingabe!B30)</f>
        <v>0.1</v>
      </c>
      <c r="C14" s="83" t="str">
        <f>IF(Dateneingabe!C30="","",Dateneingabe!C30)</f>
        <v>l</v>
      </c>
      <c r="D14" s="84" t="str">
        <f>IF(Dateneingabe!E30="","",Dateneingabe!E30)</f>
        <v>Majonäse</v>
      </c>
      <c r="E14" s="77">
        <f>IF(Dateneingabe!G30="","",Dateneingabe!G30)</f>
      </c>
      <c r="F14" s="78">
        <f>IF($F$4="","",IF(Dateneingabe!J30="","",ROUND(Dateneingabe!J30,2)))</f>
        <v>3.63</v>
      </c>
      <c r="G14" s="85" t="str">
        <f>IF($F$4="","",IF(Dateneingabe!J30="","",Dateneingabe!K30&amp;" "&amp;Dateneingabe!L30))</f>
        <v>/ l</v>
      </c>
      <c r="H14" s="86">
        <f t="shared" si="0"/>
        <v>0.363</v>
      </c>
      <c r="I14" s="78">
        <f>IF($I$4="","",IF(F14="","",ROUND(F14*(1+$I$46*Dateneingabe!$G$5),2)))</f>
        <v>3.88</v>
      </c>
      <c r="J14" s="87" t="str">
        <f>IF($I$4="","",IF(Dateneingabe!J30="","",Dateneingabe!K30&amp;" "&amp;Dateneingabe!L30))</f>
        <v>/ l</v>
      </c>
      <c r="K14" s="82"/>
      <c r="L14" s="78">
        <f>IF($L$4="","",IF(F14="","",ROUND(F14*(1+$L$46*Dateneingabe!$G$5),2)))</f>
      </c>
      <c r="M14" s="85">
        <f>IF($L$4="","",IF(Dateneingabe!J30="","",Dateneingabe!K30&amp;" "&amp;Dateneingabe!L30))</f>
      </c>
      <c r="N14" s="86">
        <f t="shared" si="1"/>
      </c>
      <c r="O14" s="59"/>
      <c r="P14" s="73"/>
      <c r="Q14" s="53"/>
    </row>
    <row r="15" spans="1:17" ht="16.5" customHeight="1" thickBot="1">
      <c r="A15" s="59"/>
      <c r="B15" s="74">
        <f>IF(Dateneingabe!B32="","",Dateneingabe!B32)</f>
        <v>0.05</v>
      </c>
      <c r="C15" s="83" t="str">
        <f>IF(Dateneingabe!C32="","",Dateneingabe!C32)</f>
        <v>l</v>
      </c>
      <c r="D15" s="84" t="str">
        <f>IF(Dateneingabe!E32="","",Dateneingabe!E32)</f>
        <v>Jogurt</v>
      </c>
      <c r="E15" s="77">
        <f>IF(Dateneingabe!G32="","",Dateneingabe!G32)</f>
      </c>
      <c r="F15" s="78">
        <f>IF($F$4="","",IF(Dateneingabe!J32="","",ROUND(Dateneingabe!J32,2)))</f>
        <v>1.8</v>
      </c>
      <c r="G15" s="85" t="str">
        <f>IF($F$4="","",IF(Dateneingabe!J32="","",Dateneingabe!K32&amp;" "&amp;Dateneingabe!L32))</f>
        <v>/ l</v>
      </c>
      <c r="H15" s="86">
        <f t="shared" si="0"/>
        <v>0.09000000000000001</v>
      </c>
      <c r="I15" s="78">
        <f>IF($I$4="","",IF(F15="","",ROUND(F15*(1+$I$46*Dateneingabe!$G$5),2)))</f>
        <v>1.92</v>
      </c>
      <c r="J15" s="87" t="str">
        <f>IF($I$4="","",IF(Dateneingabe!J32="","",Dateneingabe!K32&amp;" "&amp;Dateneingabe!L32))</f>
        <v>/ l</v>
      </c>
      <c r="K15" s="82"/>
      <c r="L15" s="78">
        <f>IF($L$4="","",IF(F15="","",ROUND(F15*(1+$L$46*Dateneingabe!$G$5),2)))</f>
      </c>
      <c r="M15" s="85">
        <f>IF($L$4="","",IF(Dateneingabe!J32="","",Dateneingabe!K32&amp;" "&amp;Dateneingabe!L32))</f>
      </c>
      <c r="N15" s="86">
        <f t="shared" si="1"/>
      </c>
      <c r="O15" s="59"/>
      <c r="P15" s="73"/>
      <c r="Q15" s="53"/>
    </row>
    <row r="16" spans="1:17" ht="16.5" customHeight="1" thickBot="1">
      <c r="A16" s="59"/>
      <c r="B16" s="74">
        <f>IF(Dateneingabe!B34="","",Dateneingabe!B34)</f>
        <v>1</v>
      </c>
      <c r="C16" s="83">
        <f>IF(Dateneingabe!C34="","",Dateneingabe!C34)</f>
      </c>
      <c r="D16" s="84" t="str">
        <f>IF(Dateneingabe!E34="","",Dateneingabe!E34)</f>
        <v>Gewürze (Salz, Pfeffer, Senf)</v>
      </c>
      <c r="E16" s="77">
        <f>IF(Dateneingabe!G34="","",Dateneingabe!G34)</f>
      </c>
      <c r="F16" s="78">
        <f>IF($F$4="","",IF(Dateneingabe!J34="","",ROUND(Dateneingabe!J34,2)))</f>
        <v>0.09</v>
      </c>
      <c r="G16" s="85" t="str">
        <f>IF($F$4="","",IF(Dateneingabe!J34="","",Dateneingabe!K34&amp;" "&amp;Dateneingabe!L34))</f>
        <v> </v>
      </c>
      <c r="H16" s="86">
        <f t="shared" si="0"/>
        <v>0.09</v>
      </c>
      <c r="I16" s="78">
        <f>IF($I$4="","",IF(F16="","",ROUND(F16*(1+$I$46*Dateneingabe!$G$5),2)))</f>
        <v>0.1</v>
      </c>
      <c r="J16" s="87" t="str">
        <f>IF($I$4="","",IF(Dateneingabe!J34="","",Dateneingabe!K34&amp;" "&amp;Dateneingabe!L34))</f>
        <v> </v>
      </c>
      <c r="K16" s="82"/>
      <c r="L16" s="78">
        <f>IF($L$4="","",IF(F16="","",ROUND(F16*(1+$L$46*Dateneingabe!$G$5),2)))</f>
      </c>
      <c r="M16" s="85">
        <f>IF($L$4="","",IF(Dateneingabe!J34="","",Dateneingabe!K34&amp;" "&amp;Dateneingabe!L34))</f>
      </c>
      <c r="N16" s="86">
        <f t="shared" si="1"/>
      </c>
      <c r="O16" s="59"/>
      <c r="P16" s="73"/>
      <c r="Q16" s="53"/>
    </row>
    <row r="17" spans="1:17" ht="16.5" customHeight="1" thickBot="1">
      <c r="A17" s="59"/>
      <c r="B17" s="74">
        <f>IF(Dateneingabe!B36="","",Dateneingabe!B36)</f>
      </c>
      <c r="C17" s="83">
        <f>IF(Dateneingabe!C36="","",Dateneingabe!C36)</f>
      </c>
      <c r="D17" s="84">
        <f>IF(Dateneingabe!E36="","",Dateneingabe!E36)</f>
      </c>
      <c r="E17" s="77">
        <f>IF(Dateneingabe!G36="","",Dateneingabe!G36)</f>
      </c>
      <c r="F17" s="78">
        <f>IF($F$4="","",IF(Dateneingabe!J36="","",ROUND(Dateneingabe!J36,2)))</f>
      </c>
      <c r="G17" s="85">
        <f>IF($F$4="","",IF(Dateneingabe!J36="","",Dateneingabe!K36&amp;" "&amp;Dateneingabe!L36))</f>
      </c>
      <c r="H17" s="86">
        <f t="shared" si="0"/>
      </c>
      <c r="I17" s="78">
        <f>IF($I$4="","",IF(F17="","",ROUND(F17*(1+$I$46*Dateneingabe!$G$5),2)))</f>
      </c>
      <c r="J17" s="87">
        <f>IF($I$4="","",IF(Dateneingabe!J36="","",Dateneingabe!K36&amp;" "&amp;Dateneingabe!L36))</f>
      </c>
      <c r="K17" s="82"/>
      <c r="L17" s="78">
        <f>IF($L$4="","",IF(F17="","",ROUND(F17*(1+$L$46*Dateneingabe!$G$5),2)))</f>
      </c>
      <c r="M17" s="85">
        <f>IF($L$4="","",IF(Dateneingabe!J36="","",Dateneingabe!K36&amp;" "&amp;Dateneingabe!L36))</f>
      </c>
      <c r="N17" s="86">
        <f t="shared" si="1"/>
      </c>
      <c r="O17" s="59"/>
      <c r="P17" s="73"/>
      <c r="Q17" s="53"/>
    </row>
    <row r="18" spans="1:17" ht="16.5" customHeight="1" thickBot="1">
      <c r="A18" s="59"/>
      <c r="B18" s="74">
        <f>IF(Dateneingabe!B38="","",Dateneingabe!B38)</f>
      </c>
      <c r="C18" s="83">
        <f>IF(Dateneingabe!C38="","",Dateneingabe!C38)</f>
      </c>
      <c r="D18" s="84">
        <f>IF(Dateneingabe!E38="","",Dateneingabe!E38)</f>
      </c>
      <c r="E18" s="77">
        <f>IF(Dateneingabe!G38="","",Dateneingabe!G38)</f>
      </c>
      <c r="F18" s="78">
        <f>IF($F$4="","",IF(Dateneingabe!J38="","",ROUND(Dateneingabe!J38,2)))</f>
      </c>
      <c r="G18" s="85">
        <f>IF($F$4="","",IF(Dateneingabe!J38="","",Dateneingabe!K38&amp;" "&amp;Dateneingabe!L38))</f>
      </c>
      <c r="H18" s="86">
        <f t="shared" si="0"/>
      </c>
      <c r="I18" s="78">
        <f>IF($I$4="","",IF(F18="","",ROUND(F18*(1+$I$46*Dateneingabe!$G$5),2)))</f>
      </c>
      <c r="J18" s="87">
        <f>IF($I$4="","",IF(Dateneingabe!J38="","",Dateneingabe!K38&amp;" "&amp;Dateneingabe!L38))</f>
      </c>
      <c r="K18" s="82"/>
      <c r="L18" s="78">
        <f>IF($L$4="","",IF(F18="","",ROUND(F18*(1+$L$46*Dateneingabe!$G$5),2)))</f>
      </c>
      <c r="M18" s="85">
        <f>IF($L$4="","",IF(Dateneingabe!J38="","",Dateneingabe!K38&amp;" "&amp;Dateneingabe!L38))</f>
      </c>
      <c r="N18" s="86">
        <f t="shared" si="1"/>
      </c>
      <c r="O18" s="59"/>
      <c r="P18" s="73"/>
      <c r="Q18" s="53"/>
    </row>
    <row r="19" spans="1:17" ht="16.5" customHeight="1" thickBot="1">
      <c r="A19" s="59"/>
      <c r="B19" s="89"/>
      <c r="C19" s="90"/>
      <c r="D19" s="91" t="s">
        <v>43</v>
      </c>
      <c r="E19" s="92"/>
      <c r="F19" s="346"/>
      <c r="G19" s="347"/>
      <c r="H19" s="93">
        <f>IF(SUM(H7:H18)=0,"",SUM(H7:H18))</f>
        <v>0.9537999999999999</v>
      </c>
      <c r="I19" s="346"/>
      <c r="J19" s="348"/>
      <c r="K19" s="94"/>
      <c r="L19" s="349"/>
      <c r="M19" s="347"/>
      <c r="N19" s="93">
        <f>IF(SUM(N7:N18)=0,"",SUM(N7:N18))</f>
      </c>
      <c r="O19" s="59"/>
      <c r="P19" s="73"/>
      <c r="Q19" s="53"/>
    </row>
    <row r="20" spans="1:17" ht="22.5" customHeight="1" thickBot="1">
      <c r="A20" s="59"/>
      <c r="B20" s="95" t="s">
        <v>25</v>
      </c>
      <c r="C20" s="96"/>
      <c r="D20" s="97">
        <f>IF(Dateneingabe!C40="","",Dateneingabe!C40)</f>
      </c>
      <c r="E20" s="98"/>
      <c r="F20" s="98"/>
      <c r="G20" s="98"/>
      <c r="H20" s="98"/>
      <c r="I20" s="98"/>
      <c r="J20" s="99"/>
      <c r="K20" s="99"/>
      <c r="L20" s="98"/>
      <c r="M20" s="98"/>
      <c r="N20" s="100"/>
      <c r="O20" s="59"/>
      <c r="P20" s="73"/>
      <c r="Q20" s="53"/>
    </row>
    <row r="21" spans="1:17" ht="16.5" customHeight="1" thickBot="1">
      <c r="A21" s="59"/>
      <c r="B21" s="74">
        <f>IF(Dateneingabe!B42="","",Dateneingabe!B42)</f>
      </c>
      <c r="C21" s="75">
        <f>IF(Dateneingabe!C42="","",Dateneingabe!C42)</f>
      </c>
      <c r="D21" s="76">
        <f>IF(Dateneingabe!E42="","",Dateneingabe!E42)</f>
      </c>
      <c r="E21" s="77">
        <f>IF(Dateneingabe!G42="","",Dateneingabe!G42)</f>
      </c>
      <c r="F21" s="78">
        <f>IF($F$4="","",IF(Dateneingabe!J42="","",ROUND(Dateneingabe!J42,2)))</f>
      </c>
      <c r="G21" s="79">
        <f>IF($F$4="","",IF(Dateneingabe!J42="","",Dateneingabe!K42&amp;" "&amp;Dateneingabe!L42))</f>
      </c>
      <c r="H21" s="80">
        <f aca="true" t="shared" si="2" ref="H21:H31">IF(OR(F$4="",F21="",$B21=""),"",IF($E21&lt;&gt;"",$B21*$E21/1000*F21,$B21/IF($C21="",1,VLOOKUP($C21,Faktor,3,0))*F21))</f>
      </c>
      <c r="I21" s="78">
        <f>IF($I$4="","",IF(F21="","",ROUND(F21*(1+$I$46*Dateneingabe!$G$5),2)))</f>
      </c>
      <c r="J21" s="81">
        <f>IF($I$4="","",IF(Dateneingabe!J42="","",Dateneingabe!K42&amp;" "&amp;Dateneingabe!L42))</f>
      </c>
      <c r="K21" s="82"/>
      <c r="L21" s="78">
        <f>IF($L$4="","",IF(F21="","",ROUND(F21*(1+$L$46*Dateneingabe!$G$5),2)))</f>
      </c>
      <c r="M21" s="79">
        <f>IF($L$4="","",IF(Dateneingabe!J42="","",Dateneingabe!K42&amp;" "&amp;Dateneingabe!L42))</f>
      </c>
      <c r="N21" s="80">
        <f aca="true" t="shared" si="3" ref="N21:N31">IF(OR(L$4="",L21="",$B21=""),"",IF($E21&lt;&gt;"",$B21*$E21/1000*L21,$B21/IF($C21="",1,VLOOKUP($C21,Faktor,3,0))*L21))</f>
      </c>
      <c r="O21" s="59"/>
      <c r="P21" s="73"/>
      <c r="Q21" s="53"/>
    </row>
    <row r="22" spans="1:17" ht="16.5" customHeight="1" thickBot="1">
      <c r="A22" s="59"/>
      <c r="B22" s="74">
        <f>IF(Dateneingabe!B44="","",Dateneingabe!B44)</f>
      </c>
      <c r="C22" s="83">
        <f>IF(Dateneingabe!C44="","",Dateneingabe!C44)</f>
      </c>
      <c r="D22" s="84">
        <f>IF(Dateneingabe!E44="","",Dateneingabe!E44)</f>
      </c>
      <c r="E22" s="77">
        <f>IF(Dateneingabe!G44="","",Dateneingabe!G44)</f>
      </c>
      <c r="F22" s="78">
        <f>IF($F$4="","",IF(Dateneingabe!J44="","",ROUND(Dateneingabe!J44,2)))</f>
      </c>
      <c r="G22" s="85">
        <f>IF($F$4="","",IF(Dateneingabe!J44="","",Dateneingabe!K44&amp;" "&amp;Dateneingabe!L44))</f>
      </c>
      <c r="H22" s="80">
        <f t="shared" si="2"/>
      </c>
      <c r="I22" s="78">
        <f>IF($I$4="","",IF(F22="","",ROUND(F22*(1+$I$46*Dateneingabe!$G$5),2)))</f>
      </c>
      <c r="J22" s="87">
        <f>IF($I$4="","",IF(Dateneingabe!J44="","",Dateneingabe!K44&amp;" "&amp;Dateneingabe!L44))</f>
      </c>
      <c r="K22" s="82"/>
      <c r="L22" s="78">
        <f>IF($L$4="","",IF(F22="","",ROUND(F22*(1+$L$46*Dateneingabe!$G$5),2)))</f>
      </c>
      <c r="M22" s="85">
        <f>IF($L$4="","",IF(Dateneingabe!J44="","",Dateneingabe!K44&amp;" "&amp;Dateneingabe!L44))</f>
      </c>
      <c r="N22" s="80">
        <f t="shared" si="3"/>
      </c>
      <c r="O22" s="59"/>
      <c r="P22" s="73"/>
      <c r="Q22" s="53"/>
    </row>
    <row r="23" spans="1:17" ht="16.5" customHeight="1" thickBot="1">
      <c r="A23" s="59"/>
      <c r="B23" s="74">
        <f>IF(Dateneingabe!B46="","",Dateneingabe!B46)</f>
      </c>
      <c r="C23" s="83">
        <f>IF(Dateneingabe!C46="","",Dateneingabe!C46)</f>
      </c>
      <c r="D23" s="84">
        <f>IF(Dateneingabe!E46="","",Dateneingabe!E46)</f>
      </c>
      <c r="E23" s="77">
        <f>IF(Dateneingabe!G46="","",Dateneingabe!G46)</f>
      </c>
      <c r="F23" s="78">
        <f>IF($F$4="","",IF(Dateneingabe!J46="","",ROUND(Dateneingabe!J46,2)))</f>
      </c>
      <c r="G23" s="79">
        <f>IF($F$4="","",IF(Dateneingabe!J46="","",Dateneingabe!K46&amp;" "&amp;Dateneingabe!L46))</f>
      </c>
      <c r="H23" s="80">
        <f t="shared" si="2"/>
      </c>
      <c r="I23" s="78">
        <f>IF($I$4="","",IF(F23="","",ROUND(F23*(1+$I$46*Dateneingabe!$G$5),2)))</f>
      </c>
      <c r="J23" s="81">
        <f>IF($I$4="","",IF(Dateneingabe!J46="","",Dateneingabe!K46&amp;" "&amp;Dateneingabe!L46))</f>
      </c>
      <c r="K23" s="82"/>
      <c r="L23" s="78">
        <f>IF($L$4="","",IF(F23="","",ROUND(F23*(1+$L$46*Dateneingabe!$G$5),2)))</f>
      </c>
      <c r="M23" s="79">
        <f>IF($L$4="","",IF(Dateneingabe!J46="","",Dateneingabe!K46&amp;" "&amp;Dateneingabe!L46))</f>
      </c>
      <c r="N23" s="80">
        <f t="shared" si="3"/>
      </c>
      <c r="O23" s="59"/>
      <c r="P23" s="73"/>
      <c r="Q23" s="53"/>
    </row>
    <row r="24" spans="1:17" ht="16.5" customHeight="1" thickBot="1">
      <c r="A24" s="59"/>
      <c r="B24" s="74">
        <f>IF(Dateneingabe!B48="","",Dateneingabe!B48)</f>
      </c>
      <c r="C24" s="83">
        <f>IF(Dateneingabe!C48="","",Dateneingabe!C48)</f>
      </c>
      <c r="D24" s="84">
        <f>IF(Dateneingabe!E48="","",Dateneingabe!E48)</f>
      </c>
      <c r="E24" s="77">
        <f>IF(Dateneingabe!G48="","",Dateneingabe!G48)</f>
      </c>
      <c r="F24" s="78">
        <f>IF($F$4="","",IF(Dateneingabe!J48="","",ROUND(Dateneingabe!J48,2)))</f>
      </c>
      <c r="G24" s="85">
        <f>IF($F$4="","",IF(Dateneingabe!J48="","",Dateneingabe!K48&amp;" "&amp;Dateneingabe!L48))</f>
      </c>
      <c r="H24" s="80">
        <f t="shared" si="2"/>
      </c>
      <c r="I24" s="78">
        <f>IF($I$4="","",IF(F24="","",ROUND(F24*(1+$I$46*Dateneingabe!$G$5),2)))</f>
      </c>
      <c r="J24" s="87">
        <f>IF($I$4="","",IF(Dateneingabe!J48="","",Dateneingabe!K48&amp;" "&amp;Dateneingabe!L48))</f>
      </c>
      <c r="K24" s="82"/>
      <c r="L24" s="78">
        <f>IF($L$4="","",IF(F24="","",ROUND(F24*(1+$L$46*Dateneingabe!$G$5),2)))</f>
      </c>
      <c r="M24" s="85">
        <f>IF($L$4="","",IF(Dateneingabe!J48="","",Dateneingabe!K48&amp;" "&amp;Dateneingabe!L48))</f>
      </c>
      <c r="N24" s="80">
        <f t="shared" si="3"/>
      </c>
      <c r="O24" s="59"/>
      <c r="P24" s="73"/>
      <c r="Q24" s="53"/>
    </row>
    <row r="25" spans="1:17" ht="16.5" customHeight="1" thickBot="1">
      <c r="A25" s="59"/>
      <c r="B25" s="74">
        <f>IF(Dateneingabe!B50="","",Dateneingabe!B50)</f>
      </c>
      <c r="C25" s="83">
        <f>IF(Dateneingabe!C50="","",Dateneingabe!C50)</f>
      </c>
      <c r="D25" s="84">
        <f>IF(Dateneingabe!E50="","",Dateneingabe!E50)</f>
      </c>
      <c r="E25" s="77">
        <f>IF(Dateneingabe!G50="","",Dateneingabe!G50)</f>
      </c>
      <c r="F25" s="78">
        <f>IF($F$4="","",IF(Dateneingabe!J50="","",ROUND(Dateneingabe!J50,2)))</f>
      </c>
      <c r="G25" s="79">
        <f>IF($F$4="","",IF(Dateneingabe!J50="","",Dateneingabe!K50&amp;" "&amp;Dateneingabe!L50))</f>
      </c>
      <c r="H25" s="80">
        <f t="shared" si="2"/>
      </c>
      <c r="I25" s="78">
        <f>IF($I$4="","",IF(F25="","",ROUND(F25*(1+$I$46*Dateneingabe!$G$5),2)))</f>
      </c>
      <c r="J25" s="81">
        <f>IF($I$4="","",IF(Dateneingabe!J50="","",Dateneingabe!K50&amp;" "&amp;Dateneingabe!L50))</f>
      </c>
      <c r="K25" s="82"/>
      <c r="L25" s="78">
        <f>IF($L$4="","",IF(F25="","",ROUND(F25*(1+$L$46*Dateneingabe!$G$5),2)))</f>
      </c>
      <c r="M25" s="79">
        <f>IF($L$4="","",IF(Dateneingabe!J50="","",Dateneingabe!K50&amp;" "&amp;Dateneingabe!L50))</f>
      </c>
      <c r="N25" s="80">
        <f t="shared" si="3"/>
      </c>
      <c r="O25" s="59"/>
      <c r="P25" s="73"/>
      <c r="Q25" s="53"/>
    </row>
    <row r="26" spans="1:17" ht="16.5" customHeight="1" thickBot="1">
      <c r="A26" s="59"/>
      <c r="B26" s="74">
        <f>IF(Dateneingabe!B52="","",Dateneingabe!B52)</f>
      </c>
      <c r="C26" s="83">
        <f>IF(Dateneingabe!C52="","",Dateneingabe!C52)</f>
      </c>
      <c r="D26" s="84">
        <f>IF(Dateneingabe!E52="","",Dateneingabe!E52)</f>
      </c>
      <c r="E26" s="77">
        <f>IF(Dateneingabe!G52="","",Dateneingabe!G52)</f>
      </c>
      <c r="F26" s="78">
        <f>IF($F$4="","",IF(Dateneingabe!J52="","",ROUND(Dateneingabe!J52,2)))</f>
      </c>
      <c r="G26" s="79">
        <f>IF($F$4="","",IF(Dateneingabe!J52="","",Dateneingabe!K52&amp;" "&amp;Dateneingabe!L52))</f>
      </c>
      <c r="H26" s="80">
        <f t="shared" si="2"/>
      </c>
      <c r="I26" s="78">
        <f>IF($I$4="","",IF(F26="","",ROUND(F26*(1+$I$46*Dateneingabe!$G$5),2)))</f>
      </c>
      <c r="J26" s="81">
        <f>IF($I$4="","",IF(Dateneingabe!J52="","",Dateneingabe!K52&amp;" "&amp;Dateneingabe!L52))</f>
      </c>
      <c r="K26" s="82"/>
      <c r="L26" s="78">
        <f>IF($L$4="","",IF(F26="","",ROUND(F26*(1+$L$46*Dateneingabe!$G$5),2)))</f>
      </c>
      <c r="M26" s="79">
        <f>IF($L$4="","",IF(Dateneingabe!J52="","",Dateneingabe!K52&amp;" "&amp;Dateneingabe!L52))</f>
      </c>
      <c r="N26" s="80">
        <f t="shared" si="3"/>
      </c>
      <c r="O26" s="59"/>
      <c r="P26" s="73"/>
      <c r="Q26" s="53"/>
    </row>
    <row r="27" spans="1:17" ht="16.5" customHeight="1" thickBot="1">
      <c r="A27" s="59"/>
      <c r="B27" s="74">
        <f>IF(Dateneingabe!B54="","",Dateneingabe!B54)</f>
      </c>
      <c r="C27" s="83">
        <f>IF(Dateneingabe!C54="","",Dateneingabe!C54)</f>
      </c>
      <c r="D27" s="84">
        <f>IF(Dateneingabe!E54="","",Dateneingabe!E54)</f>
      </c>
      <c r="E27" s="77">
        <f>IF(Dateneingabe!G54="","",Dateneingabe!G54)</f>
      </c>
      <c r="F27" s="78">
        <f>IF($F$4="","",IF(Dateneingabe!J54="","",ROUND(Dateneingabe!J54,2)))</f>
      </c>
      <c r="G27" s="79">
        <f>IF($F$4="","",IF(Dateneingabe!J54="","",Dateneingabe!K54&amp;" "&amp;Dateneingabe!L54))</f>
      </c>
      <c r="H27" s="80">
        <f t="shared" si="2"/>
      </c>
      <c r="I27" s="78">
        <f>IF($I$4="","",IF(F27="","",ROUND(F27*(1+$I$46*Dateneingabe!$G$5),2)))</f>
      </c>
      <c r="J27" s="81">
        <f>IF($I$4="","",IF(Dateneingabe!J54="","",Dateneingabe!K54&amp;" "&amp;Dateneingabe!L54))</f>
      </c>
      <c r="K27" s="82"/>
      <c r="L27" s="78">
        <f>IF($L$4="","",IF(F27="","",ROUND(F27*(1+$L$46*Dateneingabe!$G$5),2)))</f>
      </c>
      <c r="M27" s="79">
        <f>IF($L$4="","",IF(Dateneingabe!J54="","",Dateneingabe!K54&amp;" "&amp;Dateneingabe!L54))</f>
      </c>
      <c r="N27" s="80">
        <f t="shared" si="3"/>
      </c>
      <c r="O27" s="59"/>
      <c r="P27" s="73"/>
      <c r="Q27" s="53"/>
    </row>
    <row r="28" spans="1:17" ht="16.5" customHeight="1" thickBot="1">
      <c r="A28" s="59"/>
      <c r="B28" s="74">
        <f>IF(Dateneingabe!B56="","",Dateneingabe!B56)</f>
      </c>
      <c r="C28" s="83">
        <f>IF(Dateneingabe!C56="","",Dateneingabe!C56)</f>
      </c>
      <c r="D28" s="84">
        <f>IF(Dateneingabe!E56="","",Dateneingabe!E56)</f>
      </c>
      <c r="E28" s="77">
        <f>IF(Dateneingabe!G56="","",Dateneingabe!G56)</f>
      </c>
      <c r="F28" s="78">
        <f>IF($F$4="","",IF(Dateneingabe!J56="","",ROUND(Dateneingabe!J56,2)))</f>
      </c>
      <c r="G28" s="79">
        <f>IF($F$4="","",IF(Dateneingabe!J56="","",Dateneingabe!K56&amp;" "&amp;Dateneingabe!L56))</f>
      </c>
      <c r="H28" s="80">
        <f t="shared" si="2"/>
      </c>
      <c r="I28" s="78">
        <f>IF($I$4="","",IF(F28="","",ROUND(F28*(1+$I$46*Dateneingabe!$G$5),2)))</f>
      </c>
      <c r="J28" s="81">
        <f>IF($I$4="","",IF(Dateneingabe!J56="","",Dateneingabe!K56&amp;" "&amp;Dateneingabe!L56))</f>
      </c>
      <c r="K28" s="82"/>
      <c r="L28" s="78">
        <f>IF($L$4="","",IF(F28="","",ROUND(F28*(1+$L$46*Dateneingabe!$G$5),2)))</f>
      </c>
      <c r="M28" s="79">
        <f>IF($L$4="","",IF(Dateneingabe!J56="","",Dateneingabe!K56&amp;" "&amp;Dateneingabe!L56))</f>
      </c>
      <c r="N28" s="80">
        <f t="shared" si="3"/>
      </c>
      <c r="O28" s="59"/>
      <c r="P28" s="73"/>
      <c r="Q28" s="53"/>
    </row>
    <row r="29" spans="1:17" ht="16.5" customHeight="1" thickBot="1">
      <c r="A29" s="59"/>
      <c r="B29" s="74">
        <f>IF(Dateneingabe!B58="","",Dateneingabe!B58)</f>
      </c>
      <c r="C29" s="83">
        <f>IF(Dateneingabe!C58="","",Dateneingabe!C58)</f>
      </c>
      <c r="D29" s="84">
        <f>IF(Dateneingabe!E58="","",Dateneingabe!E58)</f>
      </c>
      <c r="E29" s="77">
        <f>IF(Dateneingabe!G58="","",Dateneingabe!G58)</f>
      </c>
      <c r="F29" s="78">
        <f>IF($F$4="","",IF(Dateneingabe!J58="","",ROUND(Dateneingabe!J58,2)))</f>
      </c>
      <c r="G29" s="79">
        <f>IF($F$4="","",IF(Dateneingabe!J58="","",Dateneingabe!K58&amp;" "&amp;Dateneingabe!L58))</f>
      </c>
      <c r="H29" s="80">
        <f t="shared" si="2"/>
      </c>
      <c r="I29" s="78">
        <f>IF($I$4="","",IF(F29="","",ROUND(F29*(1+$I$46*Dateneingabe!$G$5),2)))</f>
      </c>
      <c r="J29" s="81">
        <f>IF($I$4="","",IF(Dateneingabe!J58="","",Dateneingabe!K58&amp;" "&amp;Dateneingabe!L58))</f>
      </c>
      <c r="K29" s="82"/>
      <c r="L29" s="78">
        <f>IF($L$4="","",IF(F29="","",ROUND(F29*(1+$L$46*Dateneingabe!$G$5),2)))</f>
      </c>
      <c r="M29" s="79">
        <f>IF($L$4="","",IF(Dateneingabe!J58="","",Dateneingabe!K58&amp;" "&amp;Dateneingabe!L58))</f>
      </c>
      <c r="N29" s="80">
        <f t="shared" si="3"/>
      </c>
      <c r="O29" s="59"/>
      <c r="P29" s="73"/>
      <c r="Q29" s="53"/>
    </row>
    <row r="30" spans="1:17" ht="16.5" customHeight="1" thickBot="1">
      <c r="A30" s="59"/>
      <c r="B30" s="74">
        <f>IF(Dateneingabe!B60="","",Dateneingabe!B60)</f>
      </c>
      <c r="C30" s="83">
        <f>IF(Dateneingabe!C60="","",Dateneingabe!C60)</f>
      </c>
      <c r="D30" s="84">
        <f>IF(Dateneingabe!E60="","",Dateneingabe!E60)</f>
      </c>
      <c r="E30" s="77">
        <f>IF(Dateneingabe!G60="","",Dateneingabe!G60)</f>
      </c>
      <c r="F30" s="78">
        <f>IF($F$4="","",IF(Dateneingabe!J60="","",ROUND(Dateneingabe!J60,2)))</f>
      </c>
      <c r="G30" s="79">
        <f>IF($F$4="","",IF(Dateneingabe!J60="","",Dateneingabe!K60&amp;" "&amp;Dateneingabe!L60))</f>
      </c>
      <c r="H30" s="80">
        <f t="shared" si="2"/>
      </c>
      <c r="I30" s="78">
        <f>IF($I$4="","",IF(F30="","",ROUND(F30*(1+$I$46*Dateneingabe!$G$5),2)))</f>
      </c>
      <c r="J30" s="81">
        <f>IF($I$4="","",IF(Dateneingabe!J60="","",Dateneingabe!K60&amp;" "&amp;Dateneingabe!L60))</f>
      </c>
      <c r="K30" s="82"/>
      <c r="L30" s="78">
        <f>IF($L$4="","",IF(F30="","",ROUND(F30*(1+$L$46*Dateneingabe!$G$5),2)))</f>
      </c>
      <c r="M30" s="79">
        <f>IF($L$4="","",IF(Dateneingabe!J60="","",Dateneingabe!K60&amp;" "&amp;Dateneingabe!L60))</f>
      </c>
      <c r="N30" s="80">
        <f t="shared" si="3"/>
      </c>
      <c r="O30" s="59"/>
      <c r="P30" s="73"/>
      <c r="Q30" s="53"/>
    </row>
    <row r="31" spans="1:17" ht="16.5" customHeight="1" thickBot="1">
      <c r="A31" s="59"/>
      <c r="B31" s="74">
        <f>IF(Dateneingabe!B62="","",Dateneingabe!B62)</f>
      </c>
      <c r="C31" s="83">
        <f>IF(Dateneingabe!C62="","",Dateneingabe!C62)</f>
      </c>
      <c r="D31" s="84">
        <f>IF(Dateneingabe!E62="","",Dateneingabe!E62)</f>
      </c>
      <c r="E31" s="77">
        <f>IF(Dateneingabe!G62="","",Dateneingabe!G62)</f>
      </c>
      <c r="F31" s="78">
        <f>IF($F$4="","",IF(Dateneingabe!J62="","",ROUND(Dateneingabe!J62,2)))</f>
      </c>
      <c r="G31" s="79">
        <f>IF($F$4="","",IF(Dateneingabe!J62="","",Dateneingabe!K62&amp;" "&amp;Dateneingabe!L62))</f>
      </c>
      <c r="H31" s="80">
        <f t="shared" si="2"/>
      </c>
      <c r="I31" s="78">
        <f>IF($I$4="","",IF(F31="","",ROUND(F31*(1+$I$46*Dateneingabe!$G$5),2)))</f>
      </c>
      <c r="J31" s="81">
        <f>IF($I$4="","",IF(Dateneingabe!J62="","",Dateneingabe!K62&amp;" "&amp;Dateneingabe!L62))</f>
      </c>
      <c r="K31" s="82"/>
      <c r="L31" s="78">
        <f>IF($L$4="","",IF(F31="","",ROUND(F31*(1+$L$46*Dateneingabe!$G$5),2)))</f>
      </c>
      <c r="M31" s="79">
        <f>IF($L$4="","",IF(Dateneingabe!J62="","",Dateneingabe!K62&amp;" "&amp;Dateneingabe!L62))</f>
      </c>
      <c r="N31" s="80">
        <f t="shared" si="3"/>
      </c>
      <c r="O31" s="59"/>
      <c r="P31" s="73"/>
      <c r="Q31" s="53"/>
    </row>
    <row r="32" spans="1:17" ht="16.5" customHeight="1" thickBot="1">
      <c r="A32" s="59"/>
      <c r="B32" s="101"/>
      <c r="C32" s="102"/>
      <c r="D32" s="101" t="s">
        <v>44</v>
      </c>
      <c r="E32" s="103"/>
      <c r="F32" s="336"/>
      <c r="G32" s="337"/>
      <c r="H32" s="104">
        <f>IF(SUM(H21:H31,H19)=0,"",SUM(H21:H31,H19))</f>
        <v>0.9537999999999999</v>
      </c>
      <c r="I32" s="336"/>
      <c r="J32" s="338"/>
      <c r="K32" s="105"/>
      <c r="L32" s="339"/>
      <c r="M32" s="337"/>
      <c r="N32" s="104">
        <f>IF(SUM(N21:N31,N19)=0,"",SUM(N21:N31,N19))</f>
      </c>
      <c r="O32" s="59"/>
      <c r="P32" s="73"/>
      <c r="Q32" s="53"/>
    </row>
    <row r="33" spans="1:17" ht="16.5" customHeight="1">
      <c r="A33" s="59"/>
      <c r="B33" s="59"/>
      <c r="C33" s="106" t="s">
        <v>45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107"/>
      <c r="Q33" s="53"/>
    </row>
    <row r="34" spans="1:17" ht="16.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107"/>
      <c r="Q34" s="53"/>
    </row>
    <row r="35" spans="1:17" ht="19.5" customHeight="1" hidden="1">
      <c r="A35" s="66"/>
      <c r="B35" s="108" t="s">
        <v>46</v>
      </c>
      <c r="C35" s="109"/>
      <c r="D35" s="109"/>
      <c r="E35" s="110"/>
      <c r="F35" s="340"/>
      <c r="G35" s="340"/>
      <c r="H35" s="341"/>
      <c r="I35" s="341"/>
      <c r="J35" s="341"/>
      <c r="K35" s="341"/>
      <c r="L35" s="341"/>
      <c r="M35" s="342"/>
      <c r="N35" s="343"/>
      <c r="O35" s="66"/>
      <c r="P35" s="107"/>
      <c r="Q35" s="53"/>
    </row>
    <row r="36" spans="1:17" ht="16.5" customHeight="1" hidden="1" thickBot="1">
      <c r="A36" s="66"/>
      <c r="B36" s="111"/>
      <c r="C36" s="112" t="s">
        <v>10</v>
      </c>
      <c r="D36" s="113"/>
      <c r="E36" s="114"/>
      <c r="F36" s="327">
        <f>IF(Dateneingabe!M14="","",Dateneingabe!M14)</f>
        <v>12</v>
      </c>
      <c r="G36" s="327"/>
      <c r="H36" s="328"/>
      <c r="I36" s="329">
        <f>IF($I$4="","",F36*(1+I46*Dateneingabe!$G$7))</f>
        <v>13.1856</v>
      </c>
      <c r="J36" s="329"/>
      <c r="K36" s="329"/>
      <c r="L36" s="330">
        <f>IF($L$4="","",F36*(1+L46*Dateneingabe!$G$7))</f>
      </c>
      <c r="M36" s="330"/>
      <c r="N36" s="331"/>
      <c r="O36" s="66"/>
      <c r="P36" s="107"/>
      <c r="Q36" s="53"/>
    </row>
    <row r="37" spans="1:17" ht="16.5" customHeight="1" hidden="1" thickBot="1">
      <c r="A37" s="66"/>
      <c r="B37" s="115" t="s">
        <v>47</v>
      </c>
      <c r="C37" s="332">
        <f>IF(Dateneingabe!M10="","",Dateneingabe!M10)</f>
        <v>0.1</v>
      </c>
      <c r="D37" s="332"/>
      <c r="E37" s="333"/>
      <c r="F37" s="334">
        <f>IF(F36="","",-F36*$C37/(1+$C37))</f>
        <v>-1.090909090909091</v>
      </c>
      <c r="G37" s="334"/>
      <c r="H37" s="335"/>
      <c r="I37" s="324"/>
      <c r="J37" s="325"/>
      <c r="K37" s="326"/>
      <c r="L37" s="334">
        <f>IF(L36="","",-L36*$C37/(1+$C37))</f>
      </c>
      <c r="M37" s="334"/>
      <c r="N37" s="335"/>
      <c r="O37" s="66"/>
      <c r="P37" s="107"/>
      <c r="Q37" s="53"/>
    </row>
    <row r="38" spans="1:17" ht="16.5" customHeight="1" hidden="1" thickBot="1">
      <c r="A38" s="66"/>
      <c r="B38" s="116" t="s">
        <v>48</v>
      </c>
      <c r="C38" s="117" t="s">
        <v>43</v>
      </c>
      <c r="D38" s="117"/>
      <c r="E38" s="118"/>
      <c r="F38" s="312">
        <f>IF(F36="","",SUM(F36:F37))</f>
        <v>10.909090909090908</v>
      </c>
      <c r="G38" s="312"/>
      <c r="H38" s="313"/>
      <c r="I38" s="314"/>
      <c r="J38" s="315"/>
      <c r="K38" s="316"/>
      <c r="L38" s="312">
        <f>IF(L36="","",SUM(L36:L37))</f>
      </c>
      <c r="M38" s="312"/>
      <c r="N38" s="313"/>
      <c r="O38" s="66"/>
      <c r="P38" s="107"/>
      <c r="Q38" s="53"/>
    </row>
    <row r="39" spans="1:17" ht="16.5" customHeight="1" hidden="1" thickBot="1">
      <c r="A39" s="66"/>
      <c r="B39" s="119" t="s">
        <v>47</v>
      </c>
      <c r="C39" s="322">
        <f>IF(Dateneingabe!M12="","",Dateneingabe!M12)</f>
        <v>0.125</v>
      </c>
      <c r="D39" s="322"/>
      <c r="E39" s="323"/>
      <c r="F39" s="317">
        <f>IF(F38="","",-F38*$C39/(1+$C39))</f>
        <v>-1.212121212121212</v>
      </c>
      <c r="G39" s="317"/>
      <c r="H39" s="318"/>
      <c r="I39" s="324"/>
      <c r="J39" s="325"/>
      <c r="K39" s="326"/>
      <c r="L39" s="317">
        <f>IF(L38="","",-L38*$C39/(1+$C39))</f>
      </c>
      <c r="M39" s="317"/>
      <c r="N39" s="318"/>
      <c r="O39" s="66"/>
      <c r="P39" s="107"/>
      <c r="Q39" s="53"/>
    </row>
    <row r="40" spans="1:17" ht="16.5" customHeight="1" hidden="1" thickBot="1">
      <c r="A40" s="66"/>
      <c r="B40" s="116" t="s">
        <v>48</v>
      </c>
      <c r="C40" s="117" t="s">
        <v>49</v>
      </c>
      <c r="D40" s="117"/>
      <c r="E40" s="118"/>
      <c r="F40" s="312">
        <f>IF(F39="","",SUM(F38:F39))</f>
        <v>9.696969696969695</v>
      </c>
      <c r="G40" s="312"/>
      <c r="H40" s="313"/>
      <c r="I40" s="314"/>
      <c r="J40" s="315"/>
      <c r="K40" s="316"/>
      <c r="L40" s="312">
        <f>IF(L39="","",SUM(L38:L39))</f>
      </c>
      <c r="M40" s="312"/>
      <c r="N40" s="313"/>
      <c r="O40" s="66"/>
      <c r="P40" s="107"/>
      <c r="Q40" s="53"/>
    </row>
    <row r="41" spans="1:17" ht="16.5" customHeight="1" hidden="1" thickBot="1">
      <c r="A41" s="66"/>
      <c r="B41" s="119" t="s">
        <v>47</v>
      </c>
      <c r="C41" s="120" t="s">
        <v>44</v>
      </c>
      <c r="D41" s="121"/>
      <c r="E41" s="122"/>
      <c r="F41" s="317">
        <f>IF(H32="","",-H32)</f>
        <v>-0.9537999999999999</v>
      </c>
      <c r="G41" s="317"/>
      <c r="H41" s="318"/>
      <c r="I41" s="319">
        <f>IF(K32="","",-K32)</f>
      </c>
      <c r="J41" s="320"/>
      <c r="K41" s="321"/>
      <c r="L41" s="317">
        <f>IF(N32="","",-N32)</f>
      </c>
      <c r="M41" s="317"/>
      <c r="N41" s="318"/>
      <c r="O41" s="66"/>
      <c r="P41" s="107"/>
      <c r="Q41" s="53"/>
    </row>
    <row r="42" spans="1:17" ht="19.5" customHeight="1" hidden="1" thickBot="1">
      <c r="A42" s="66"/>
      <c r="B42" s="123" t="s">
        <v>48</v>
      </c>
      <c r="C42" s="124" t="s">
        <v>46</v>
      </c>
      <c r="D42" s="124"/>
      <c r="E42" s="125"/>
      <c r="F42" s="305">
        <f>IF(F41="","",SUM(F40,F41))</f>
        <v>8.743169696969696</v>
      </c>
      <c r="G42" s="305"/>
      <c r="H42" s="306"/>
      <c r="I42" s="307"/>
      <c r="J42" s="308"/>
      <c r="K42" s="309"/>
      <c r="L42" s="310">
        <f>IF(L41="","",SUM(L40,L41))</f>
      </c>
      <c r="M42" s="305"/>
      <c r="N42" s="311"/>
      <c r="O42" s="66"/>
      <c r="P42" s="107"/>
      <c r="Q42" s="53"/>
    </row>
    <row r="43" spans="1:17" ht="15.75" customHeight="1" hidden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107"/>
      <c r="Q43" s="53"/>
    </row>
    <row r="44" spans="1:17" ht="15.7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</row>
    <row r="45" spans="1:17" ht="15.75" customHeight="1" hidden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5"/>
    </row>
    <row r="46" spans="1:17" ht="15.75" customHeight="1" hidden="1">
      <c r="A46" s="54"/>
      <c r="B46" s="54"/>
      <c r="C46" s="54"/>
      <c r="D46" s="54"/>
      <c r="E46" s="54"/>
      <c r="F46" s="54"/>
      <c r="G46" s="54"/>
      <c r="H46" s="126" t="s">
        <v>50</v>
      </c>
      <c r="I46" s="127">
        <f>IF(Dateneingabe!G5="",1.5,Dateneingabe!G5*100)</f>
        <v>2.6</v>
      </c>
      <c r="J46" s="128"/>
      <c r="K46" s="128"/>
      <c r="L46" s="127">
        <f>IF(Dateneingabe!G5="",3.2,Dateneingabe!G5*100+1.2)</f>
        <v>3.8</v>
      </c>
      <c r="M46" s="128"/>
      <c r="N46" s="129"/>
      <c r="O46" s="54"/>
      <c r="P46" s="55"/>
      <c r="Q46" s="55"/>
    </row>
    <row r="47" spans="1:17" ht="11.25" customHeight="1" hidden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55"/>
    </row>
  </sheetData>
  <sheetProtection sheet="1" objects="1" scenarios="1"/>
  <mergeCells count="41">
    <mergeCell ref="B3:E4"/>
    <mergeCell ref="I3:K3"/>
    <mergeCell ref="L3:N3"/>
    <mergeCell ref="F4:H4"/>
    <mergeCell ref="I4:K4"/>
    <mergeCell ref="L4:N4"/>
    <mergeCell ref="F5:G5"/>
    <mergeCell ref="I5:J5"/>
    <mergeCell ref="L5:M5"/>
    <mergeCell ref="F19:G19"/>
    <mergeCell ref="I19:J19"/>
    <mergeCell ref="L19:M19"/>
    <mergeCell ref="F32:G32"/>
    <mergeCell ref="I32:J32"/>
    <mergeCell ref="L32:M32"/>
    <mergeCell ref="F35:H35"/>
    <mergeCell ref="I35:K35"/>
    <mergeCell ref="L35:N35"/>
    <mergeCell ref="F36:H36"/>
    <mergeCell ref="I36:K36"/>
    <mergeCell ref="L36:N36"/>
    <mergeCell ref="C37:E37"/>
    <mergeCell ref="F37:H37"/>
    <mergeCell ref="I37:K37"/>
    <mergeCell ref="L37:N37"/>
    <mergeCell ref="F38:H38"/>
    <mergeCell ref="I38:K38"/>
    <mergeCell ref="L38:N38"/>
    <mergeCell ref="C39:E39"/>
    <mergeCell ref="F39:H39"/>
    <mergeCell ref="I39:K39"/>
    <mergeCell ref="L39:N39"/>
    <mergeCell ref="F42:H42"/>
    <mergeCell ref="I42:K42"/>
    <mergeCell ref="L42:N42"/>
    <mergeCell ref="F40:H40"/>
    <mergeCell ref="I40:K40"/>
    <mergeCell ref="L40:N40"/>
    <mergeCell ref="F41:H41"/>
    <mergeCell ref="I41:K41"/>
    <mergeCell ref="L41:N41"/>
  </mergeCells>
  <conditionalFormatting sqref="K14:K17">
    <cfRule type="expression" priority="6" dxfId="40">
      <formula>$D14=""</formula>
    </cfRule>
  </conditionalFormatting>
  <conditionalFormatting sqref="K18">
    <cfRule type="expression" priority="5" dxfId="41" stopIfTrue="1">
      <formula>$D18=""</formula>
    </cfRule>
  </conditionalFormatting>
  <conditionalFormatting sqref="K22:K30">
    <cfRule type="expression" priority="4" dxfId="40">
      <formula>$D22=""</formula>
    </cfRule>
  </conditionalFormatting>
  <conditionalFormatting sqref="K31">
    <cfRule type="expression" priority="3" dxfId="41" stopIfTrue="1">
      <formula>$D31=""</formula>
    </cfRule>
  </conditionalFormatting>
  <conditionalFormatting sqref="K7:K13">
    <cfRule type="expression" priority="2" dxfId="42">
      <formula>$D7=""</formula>
    </cfRule>
  </conditionalFormatting>
  <conditionalFormatting sqref="K21">
    <cfRule type="expression" priority="1" dxfId="42">
      <formula>$D21=""</formula>
    </cfRule>
  </conditionalFormatting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rgb="FF0000FF"/>
  </sheetPr>
  <dimension ref="A1:P59"/>
  <sheetViews>
    <sheetView showGridLines="0" showRowColHeaders="0" zoomScalePageLayoutView="0" workbookViewId="0" topLeftCell="A1">
      <pane ySplit="8" topLeftCell="A48" activePane="bottomLeft" state="frozen"/>
      <selection pane="topLeft" activeCell="A1" sqref="A1"/>
      <selection pane="bottomLeft" activeCell="A1" sqref="A1"/>
    </sheetView>
  </sheetViews>
  <sheetFormatPr defaultColWidth="0" defaultRowHeight="12.75" customHeight="1" zeroHeight="1"/>
  <cols>
    <col min="1" max="1" width="3.7109375" style="197" customWidth="1"/>
    <col min="2" max="2" width="2.7109375" style="197" customWidth="1"/>
    <col min="3" max="3" width="7.7109375" style="197" customWidth="1"/>
    <col min="4" max="4" width="5.7109375" style="197" customWidth="1"/>
    <col min="5" max="5" width="5.57421875" style="197" customWidth="1"/>
    <col min="6" max="6" width="30.7109375" style="197" customWidth="1"/>
    <col min="7" max="7" width="10.7109375" style="197" customWidth="1"/>
    <col min="8" max="8" width="0.71875" style="197" customWidth="1"/>
    <col min="9" max="9" width="10.7109375" style="197" customWidth="1"/>
    <col min="10" max="10" width="7.7109375" style="197" customWidth="1"/>
    <col min="11" max="11" width="3.7109375" style="197" customWidth="1"/>
    <col min="12" max="12" width="0.85546875" style="197" customWidth="1"/>
    <col min="13" max="13" width="3.7109375" style="197" customWidth="1"/>
    <col min="14" max="14" width="11.421875" style="197" customWidth="1"/>
    <col min="15" max="15" width="3.7109375" style="197" hidden="1" customWidth="1"/>
    <col min="16" max="16" width="7.7109375" style="197" customWidth="1"/>
    <col min="17" max="16384" width="11.421875" style="0" hidden="1" customWidth="1"/>
  </cols>
  <sheetData>
    <row r="1" spans="1:16" ht="30" customHeight="1">
      <c r="A1" s="130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2"/>
      <c r="O1" s="133" t="s">
        <v>52</v>
      </c>
      <c r="P1" s="132"/>
    </row>
    <row r="2" spans="1:16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32"/>
      <c r="O2" s="134"/>
      <c r="P2" s="132"/>
    </row>
    <row r="3" spans="1:16" ht="44.25" hidden="1">
      <c r="A3" s="135" t="s">
        <v>111</v>
      </c>
      <c r="B3" s="135"/>
      <c r="C3" s="135"/>
      <c r="D3" s="135"/>
      <c r="E3" s="135"/>
      <c r="F3" s="135"/>
      <c r="G3" s="136"/>
      <c r="H3" s="136"/>
      <c r="I3" s="136"/>
      <c r="J3" s="136" t="s">
        <v>53</v>
      </c>
      <c r="K3" s="136"/>
      <c r="L3" s="136"/>
      <c r="M3" s="136"/>
      <c r="N3" s="132"/>
      <c r="O3" s="134" t="s">
        <v>54</v>
      </c>
      <c r="P3" s="132"/>
    </row>
    <row r="4" spans="1:16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32"/>
      <c r="O4" s="137" t="s">
        <v>52</v>
      </c>
      <c r="P4" s="132"/>
    </row>
    <row r="5" spans="1:16" ht="9.75" customHeight="1" hidden="1">
      <c r="A5" s="138"/>
      <c r="B5" s="4"/>
      <c r="C5" s="4" t="s">
        <v>55</v>
      </c>
      <c r="D5" s="4"/>
      <c r="E5" s="4"/>
      <c r="F5" s="4"/>
      <c r="G5" s="4"/>
      <c r="H5" s="4"/>
      <c r="I5" s="4"/>
      <c r="J5" s="4"/>
      <c r="K5" s="4"/>
      <c r="L5" s="4"/>
      <c r="M5" s="4"/>
      <c r="N5" s="132"/>
      <c r="O5" s="137" t="s">
        <v>52</v>
      </c>
      <c r="P5" s="132"/>
    </row>
    <row r="6" spans="1:16" ht="3.75" customHeight="1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32"/>
      <c r="O6" s="137" t="s">
        <v>52</v>
      </c>
      <c r="P6" s="132"/>
    </row>
    <row r="7" spans="1:16" ht="9.75" customHeight="1" hidden="1">
      <c r="A7" s="139"/>
      <c r="B7" s="4"/>
      <c r="C7" s="4" t="s">
        <v>56</v>
      </c>
      <c r="D7" s="4"/>
      <c r="E7" s="4"/>
      <c r="F7" s="4"/>
      <c r="G7" s="4"/>
      <c r="H7" s="4"/>
      <c r="I7" s="4"/>
      <c r="J7" s="4"/>
      <c r="K7" s="4"/>
      <c r="L7" s="4"/>
      <c r="M7" s="4"/>
      <c r="N7" s="132"/>
      <c r="O7" s="137" t="s">
        <v>52</v>
      </c>
      <c r="P7" s="132"/>
    </row>
    <row r="8" spans="1:16" ht="15" hidden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32"/>
      <c r="O8" s="137" t="s">
        <v>52</v>
      </c>
      <c r="P8" s="132"/>
    </row>
    <row r="9" spans="1:16" ht="15">
      <c r="A9" s="140" t="str">
        <f>"Wareneinsatz (WES) - "&amp;Dateneingabe!B14&amp;" "&amp;Dateneingabe!G14&amp;" "&amp;Dateneingabe!B40</f>
        <v>Wareneinsatz (WES) - Gericht  Beilage</v>
      </c>
      <c r="B9" s="140"/>
      <c r="C9" s="141"/>
      <c r="D9" s="141"/>
      <c r="E9" s="141"/>
      <c r="F9" s="141"/>
      <c r="G9" s="141"/>
      <c r="H9" s="142"/>
      <c r="I9" s="141"/>
      <c r="J9" s="143"/>
      <c r="K9" s="141"/>
      <c r="L9" s="144"/>
      <c r="M9" s="142"/>
      <c r="N9" s="132"/>
      <c r="O9" s="137" t="s">
        <v>52</v>
      </c>
      <c r="P9" s="132"/>
    </row>
    <row r="10" spans="1:16" ht="15">
      <c r="A10" s="4"/>
      <c r="B10" s="145" t="s">
        <v>57</v>
      </c>
      <c r="C10" s="145" t="s">
        <v>58</v>
      </c>
      <c r="D10" s="4"/>
      <c r="E10" s="4"/>
      <c r="F10" s="4"/>
      <c r="G10" s="146"/>
      <c r="H10" s="4"/>
      <c r="I10" s="4"/>
      <c r="J10" s="147"/>
      <c r="K10" s="148"/>
      <c r="L10" s="149"/>
      <c r="M10" s="150"/>
      <c r="N10" s="132"/>
      <c r="O10" s="137" t="s">
        <v>52</v>
      </c>
      <c r="P10" s="132"/>
    </row>
    <row r="11" spans="1:16" ht="15">
      <c r="A11" s="4"/>
      <c r="B11" s="145"/>
      <c r="C11" s="151" t="s">
        <v>9</v>
      </c>
      <c r="D11" s="4"/>
      <c r="E11" s="4"/>
      <c r="F11" s="4"/>
      <c r="G11" s="146"/>
      <c r="H11" s="4"/>
      <c r="I11" s="4"/>
      <c r="J11" s="147"/>
      <c r="K11" s="148"/>
      <c r="L11" s="149"/>
      <c r="M11" s="150"/>
      <c r="N11" s="132"/>
      <c r="O11" s="137" t="s">
        <v>52</v>
      </c>
      <c r="P11" s="132"/>
    </row>
    <row r="12" spans="1:16" ht="15">
      <c r="A12" s="4"/>
      <c r="B12" s="4"/>
      <c r="C12" s="4" t="str">
        <f>IF(AND(Hilfe!B7="",Hilfe!D7=""),"",Hilfe!B7&amp;Hilfe!C7&amp;"  "&amp;Hilfe!D7)</f>
        <v>40g  Karotten</v>
      </c>
      <c r="D12" s="4"/>
      <c r="E12" s="4"/>
      <c r="F12" s="4"/>
      <c r="G12" s="152">
        <f>IF(Hilfe!$K7="","",Hilfe!$K7)</f>
        <v>0.0384</v>
      </c>
      <c r="H12" s="153"/>
      <c r="I12" s="154">
        <f>IF(Berechnung!K7="","",Berechnung!K7)</f>
      </c>
      <c r="J12" s="155" t="str">
        <f>IF(O12="","",IF(I12="","Fehlt",IF(G12="","",IF(ROUND(I12,5)=ROUND(G12,5),"Richtig!","Falsch"))))</f>
        <v>Fehlt</v>
      </c>
      <c r="K12" s="156">
        <f>IF(J12="Richtig!",1,IF(J12="Falsch",0,IF(J12="Fehlt",0,"")))</f>
        <v>0</v>
      </c>
      <c r="L12" s="149" t="s">
        <v>59</v>
      </c>
      <c r="M12" s="150">
        <f>IF(O12="","",1)</f>
        <v>1</v>
      </c>
      <c r="N12" s="132"/>
      <c r="O12" s="157" t="str">
        <f>IF(Dateneingabe!B16="","","x")</f>
        <v>x</v>
      </c>
      <c r="P12" s="132"/>
    </row>
    <row r="13" spans="1:16" ht="15">
      <c r="A13" s="4"/>
      <c r="B13" s="4"/>
      <c r="C13" s="4" t="str">
        <f>IF(AND(Hilfe!B8="",Hilfe!D8=""),"",Hilfe!B8&amp;Hilfe!C8&amp;"  "&amp;Hilfe!D8)</f>
        <v>40g  Sellerie</v>
      </c>
      <c r="D13" s="4"/>
      <c r="E13" s="4"/>
      <c r="F13" s="4"/>
      <c r="G13" s="152">
        <f>IF(Hilfe!$K8="","",Hilfe!$K8)</f>
        <v>0.0684</v>
      </c>
      <c r="H13" s="153"/>
      <c r="I13" s="154">
        <f>IF(Berechnung!K8="","",Berechnung!K8)</f>
      </c>
      <c r="J13" s="155" t="str">
        <f aca="true" t="shared" si="0" ref="J13:J43">IF(O13="","",IF(I13="","Fehlt",IF(G13="","",IF(ROUND(I13,5)=ROUND(G13,5),"Richtig!","Falsch"))))</f>
        <v>Fehlt</v>
      </c>
      <c r="K13" s="156">
        <f aca="true" t="shared" si="1" ref="K13:K36">IF(J13="Richtig!",1,IF(J13="Falsch",0,IF(J13="Fehlt",0,"")))</f>
        <v>0</v>
      </c>
      <c r="L13" s="149" t="s">
        <v>59</v>
      </c>
      <c r="M13" s="150">
        <f aca="true" t="shared" si="2" ref="M13:M43">IF(O13="","",1)</f>
        <v>1</v>
      </c>
      <c r="N13" s="132"/>
      <c r="O13" s="157" t="str">
        <f>IF(Dateneingabe!B18="","","x")</f>
        <v>x</v>
      </c>
      <c r="P13" s="132"/>
    </row>
    <row r="14" spans="1:16" ht="15">
      <c r="A14" s="4"/>
      <c r="B14" s="4"/>
      <c r="C14" s="4" t="str">
        <f>IF(AND(Hilfe!B9="",Hilfe!D9=""),"",Hilfe!B9&amp;Hilfe!C9&amp;"  "&amp;Hilfe!D9)</f>
        <v>40g  grüne Bohnen</v>
      </c>
      <c r="D14" s="4"/>
      <c r="E14" s="4"/>
      <c r="F14" s="4"/>
      <c r="G14" s="152">
        <f>IF(Hilfe!$K9="","",Hilfe!$K9)</f>
        <v>0.0392</v>
      </c>
      <c r="H14" s="153"/>
      <c r="I14" s="154">
        <f>IF(Berechnung!K9="","",Berechnung!K9)</f>
      </c>
      <c r="J14" s="155" t="str">
        <f t="shared" si="0"/>
        <v>Fehlt</v>
      </c>
      <c r="K14" s="156">
        <f t="shared" si="1"/>
        <v>0</v>
      </c>
      <c r="L14" s="149" t="s">
        <v>59</v>
      </c>
      <c r="M14" s="150">
        <f t="shared" si="2"/>
        <v>1</v>
      </c>
      <c r="N14" s="132"/>
      <c r="O14" s="157" t="str">
        <f>IF(Dateneingabe!B20="","","x")</f>
        <v>x</v>
      </c>
      <c r="P14" s="132"/>
    </row>
    <row r="15" spans="1:16" ht="15">
      <c r="A15" s="4"/>
      <c r="B15" s="4"/>
      <c r="C15" s="4" t="str">
        <f>IF(AND(Hilfe!B10="",Hilfe!D10=""),"",Hilfe!B10&amp;Hilfe!C10&amp;"  "&amp;Hilfe!D10)</f>
        <v>40g  Kartoffel, gekocht</v>
      </c>
      <c r="D15" s="4"/>
      <c r="E15" s="4"/>
      <c r="F15" s="4"/>
      <c r="G15" s="152">
        <f>IF(Hilfe!$K10="","",Hilfe!$K10)</f>
        <v>0.0308</v>
      </c>
      <c r="H15" s="153"/>
      <c r="I15" s="154">
        <f>IF(Berechnung!K10="","",Berechnung!K10)</f>
      </c>
      <c r="J15" s="155" t="str">
        <f t="shared" si="0"/>
        <v>Fehlt</v>
      </c>
      <c r="K15" s="156">
        <f t="shared" si="1"/>
        <v>0</v>
      </c>
      <c r="L15" s="149" t="s">
        <v>59</v>
      </c>
      <c r="M15" s="150">
        <f t="shared" si="2"/>
        <v>1</v>
      </c>
      <c r="N15" s="132"/>
      <c r="O15" s="157" t="str">
        <f>IF(Dateneingabe!B22="","","x")</f>
        <v>x</v>
      </c>
      <c r="P15" s="132"/>
    </row>
    <row r="16" spans="1:16" ht="15">
      <c r="A16" s="4"/>
      <c r="B16" s="4"/>
      <c r="C16" s="4" t="str">
        <f>IF(AND(Hilfe!B11="",Hilfe!D11=""),"",Hilfe!B11&amp;Hilfe!C11&amp;"  "&amp;Hilfe!D11)</f>
        <v>40g  Erbsen, gekocht</v>
      </c>
      <c r="D16" s="4"/>
      <c r="E16" s="4"/>
      <c r="F16" s="4"/>
      <c r="G16" s="152">
        <f>IF(Hilfe!$K11="","",Hilfe!$K11)</f>
        <v>0.0504</v>
      </c>
      <c r="H16" s="153"/>
      <c r="I16" s="154">
        <f>IF(Berechnung!K11="","",Berechnung!K11)</f>
      </c>
      <c r="J16" s="155" t="str">
        <f t="shared" si="0"/>
        <v>Fehlt</v>
      </c>
      <c r="K16" s="156">
        <f t="shared" si="1"/>
        <v>0</v>
      </c>
      <c r="L16" s="149" t="s">
        <v>59</v>
      </c>
      <c r="M16" s="150">
        <f t="shared" si="2"/>
        <v>1</v>
      </c>
      <c r="N16" s="132"/>
      <c r="O16" s="157" t="str">
        <f>IF(Dateneingabe!B24="","","x")</f>
        <v>x</v>
      </c>
      <c r="P16" s="132"/>
    </row>
    <row r="17" spans="1:16" ht="15">
      <c r="A17" s="4"/>
      <c r="B17" s="4"/>
      <c r="C17" s="4" t="str">
        <f>IF(AND(Hilfe!B12="",Hilfe!D12=""),"",Hilfe!B12&amp;Hilfe!C12&amp;"  "&amp;Hilfe!D12)</f>
        <v>40g  Essiggurken</v>
      </c>
      <c r="D17" s="4"/>
      <c r="E17" s="4"/>
      <c r="F17" s="4"/>
      <c r="G17" s="152">
        <f>IF(Hilfe!$K12="","",Hilfe!$K12)</f>
        <v>0.1752</v>
      </c>
      <c r="H17" s="153"/>
      <c r="I17" s="154">
        <f>IF(Berechnung!K12="","",Berechnung!K12)</f>
      </c>
      <c r="J17" s="155" t="str">
        <f t="shared" si="0"/>
        <v>Fehlt</v>
      </c>
      <c r="K17" s="156">
        <f t="shared" si="1"/>
        <v>0</v>
      </c>
      <c r="L17" s="149" t="s">
        <v>59</v>
      </c>
      <c r="M17" s="150">
        <f t="shared" si="2"/>
        <v>1</v>
      </c>
      <c r="N17" s="132"/>
      <c r="O17" s="157" t="str">
        <f>IF(Dateneingabe!B26="","","x")</f>
        <v>x</v>
      </c>
      <c r="P17" s="132"/>
    </row>
    <row r="18" spans="1:16" ht="15">
      <c r="A18" s="4"/>
      <c r="B18" s="4"/>
      <c r="C18" s="4" t="str">
        <f>IF(AND(Hilfe!B13="",Hilfe!D13=""),"",Hilfe!B13&amp;Hilfe!C13&amp;"  "&amp;Hilfe!D13)</f>
        <v>40g  Äpfel</v>
      </c>
      <c r="D18" s="4"/>
      <c r="E18" s="4"/>
      <c r="F18" s="4"/>
      <c r="G18" s="152">
        <f>IF(Hilfe!$K13="","",Hilfe!$K13)</f>
        <v>0.0364</v>
      </c>
      <c r="H18" s="153"/>
      <c r="I18" s="154">
        <f>IF(Berechnung!K13="","",Berechnung!K13)</f>
      </c>
      <c r="J18" s="155" t="str">
        <f t="shared" si="0"/>
        <v>Fehlt</v>
      </c>
      <c r="K18" s="156">
        <f t="shared" si="1"/>
        <v>0</v>
      </c>
      <c r="L18" s="149" t="s">
        <v>59</v>
      </c>
      <c r="M18" s="150">
        <f t="shared" si="2"/>
        <v>1</v>
      </c>
      <c r="N18" s="132"/>
      <c r="O18" s="157" t="str">
        <f>IF(Dateneingabe!B28="","","x")</f>
        <v>x</v>
      </c>
      <c r="P18" s="132"/>
    </row>
    <row r="19" spans="1:16" ht="15">
      <c r="A19" s="4"/>
      <c r="B19" s="4"/>
      <c r="C19" s="4" t="str">
        <f>IF(AND(Hilfe!B14="",Hilfe!D14=""),"",Hilfe!B14&amp;Hilfe!C14&amp;"  "&amp;Hilfe!D14)</f>
        <v>0,1l  Majonäse</v>
      </c>
      <c r="D19" s="4"/>
      <c r="E19" s="4"/>
      <c r="F19" s="4"/>
      <c r="G19" s="152">
        <f>IF(Hilfe!$K14="","",Hilfe!$K14)</f>
        <v>0.388</v>
      </c>
      <c r="H19" s="153"/>
      <c r="I19" s="154">
        <f>IF(Berechnung!K14="","",Berechnung!K14)</f>
      </c>
      <c r="J19" s="155" t="str">
        <f t="shared" si="0"/>
        <v>Fehlt</v>
      </c>
      <c r="K19" s="156">
        <f t="shared" si="1"/>
        <v>0</v>
      </c>
      <c r="L19" s="149" t="s">
        <v>59</v>
      </c>
      <c r="M19" s="150">
        <f t="shared" si="2"/>
        <v>1</v>
      </c>
      <c r="N19" s="132"/>
      <c r="O19" s="157" t="str">
        <f>IF(Dateneingabe!B30="","","x")</f>
        <v>x</v>
      </c>
      <c r="P19" s="132"/>
    </row>
    <row r="20" spans="1:16" ht="15">
      <c r="A20" s="4"/>
      <c r="B20" s="4"/>
      <c r="C20" s="4" t="str">
        <f>IF(AND(Hilfe!B15="",Hilfe!D15=""),"",Hilfe!B15&amp;Hilfe!C15&amp;"  "&amp;Hilfe!D15)</f>
        <v>0,05l  Jogurt</v>
      </c>
      <c r="D20" s="4"/>
      <c r="E20" s="4"/>
      <c r="F20" s="4"/>
      <c r="G20" s="152">
        <f>IF(Hilfe!$K15="","",Hilfe!$K15)</f>
        <v>0.096</v>
      </c>
      <c r="H20" s="153"/>
      <c r="I20" s="154">
        <f>IF(Berechnung!K15="","",Berechnung!K15)</f>
      </c>
      <c r="J20" s="155" t="str">
        <f t="shared" si="0"/>
        <v>Fehlt</v>
      </c>
      <c r="K20" s="156">
        <f t="shared" si="1"/>
        <v>0</v>
      </c>
      <c r="L20" s="149" t="s">
        <v>59</v>
      </c>
      <c r="M20" s="150">
        <f t="shared" si="2"/>
        <v>1</v>
      </c>
      <c r="N20" s="132"/>
      <c r="O20" s="157" t="str">
        <f>IF(Dateneingabe!B32="","","x")</f>
        <v>x</v>
      </c>
      <c r="P20" s="132"/>
    </row>
    <row r="21" spans="1:16" ht="15">
      <c r="A21" s="4"/>
      <c r="B21" s="4"/>
      <c r="C21" s="4" t="str">
        <f>IF(AND(Hilfe!B16="",Hilfe!D16=""),"",Hilfe!B16&amp;Hilfe!C16&amp;"  "&amp;Hilfe!D16)</f>
        <v>1  Gewürze (Salz, Pfeffer, Senf)</v>
      </c>
      <c r="D21" s="4"/>
      <c r="E21" s="4"/>
      <c r="F21" s="4"/>
      <c r="G21" s="152">
        <f>IF(Hilfe!$K16="","",Hilfe!$K16)</f>
        <v>0.1</v>
      </c>
      <c r="H21" s="153"/>
      <c r="I21" s="154">
        <f>IF(Berechnung!K16="","",Berechnung!K16)</f>
      </c>
      <c r="J21" s="155" t="str">
        <f t="shared" si="0"/>
        <v>Fehlt</v>
      </c>
      <c r="K21" s="156">
        <f t="shared" si="1"/>
        <v>0</v>
      </c>
      <c r="L21" s="149" t="s">
        <v>59</v>
      </c>
      <c r="M21" s="150">
        <f>IF(O21="","",1)</f>
        <v>1</v>
      </c>
      <c r="N21" s="132"/>
      <c r="O21" s="157" t="str">
        <f>IF(Dateneingabe!B34="","","x")</f>
        <v>x</v>
      </c>
      <c r="P21" s="132"/>
    </row>
    <row r="22" spans="1:16" ht="15">
      <c r="A22" s="4"/>
      <c r="B22" s="4"/>
      <c r="C22" s="4">
        <f>IF(AND(Hilfe!B17="",Hilfe!D17=""),"",Hilfe!B17&amp;Hilfe!C17&amp;"  "&amp;Hilfe!D17)</f>
      </c>
      <c r="D22" s="4"/>
      <c r="E22" s="4"/>
      <c r="F22" s="4"/>
      <c r="G22" s="152">
        <f>IF(Hilfe!$K17="","",Hilfe!$K17)</f>
      </c>
      <c r="H22" s="153"/>
      <c r="I22" s="154">
        <f>IF(Berechnung!K17="","",Berechnung!K17)</f>
      </c>
      <c r="J22" s="155">
        <f t="shared" si="0"/>
      </c>
      <c r="K22" s="156">
        <f t="shared" si="1"/>
      </c>
      <c r="L22" s="149" t="s">
        <v>59</v>
      </c>
      <c r="M22" s="150">
        <f t="shared" si="2"/>
      </c>
      <c r="N22" s="132"/>
      <c r="O22" s="157">
        <f>IF(Dateneingabe!B36="","","x")</f>
      </c>
      <c r="P22" s="132"/>
    </row>
    <row r="23" spans="1:16" ht="15.75" thickBot="1">
      <c r="A23" s="4"/>
      <c r="B23" s="4"/>
      <c r="C23" s="4">
        <f>IF(AND(Hilfe!B18="",Hilfe!D18=""),"",Hilfe!B18&amp;Hilfe!C18&amp;"  "&amp;Hilfe!D18)</f>
      </c>
      <c r="D23" s="4"/>
      <c r="E23" s="4"/>
      <c r="F23" s="4"/>
      <c r="G23" s="152">
        <f>IF(Hilfe!$K18="","",Hilfe!$K18)</f>
      </c>
      <c r="H23" s="153"/>
      <c r="I23" s="154">
        <f>IF(Berechnung!K18="","",Berechnung!K18)</f>
      </c>
      <c r="J23" s="155">
        <f t="shared" si="0"/>
      </c>
      <c r="K23" s="156">
        <f t="shared" si="1"/>
      </c>
      <c r="L23" s="149" t="s">
        <v>59</v>
      </c>
      <c r="M23" s="150">
        <f t="shared" si="2"/>
      </c>
      <c r="N23" s="132"/>
      <c r="O23" s="157">
        <f>IF(Dateneingabe!B38="","","x")</f>
      </c>
      <c r="P23" s="132"/>
    </row>
    <row r="24" spans="1:16" ht="15.75" thickBot="1">
      <c r="A24" s="4"/>
      <c r="B24" s="4"/>
      <c r="C24" s="4" t="str">
        <f>"Zwischensumme - "&amp;C11</f>
        <v>Zwischensumme - Gericht</v>
      </c>
      <c r="D24" s="4"/>
      <c r="E24" s="4"/>
      <c r="F24" s="4"/>
      <c r="G24" s="158">
        <f>IF(Hilfe!$K19="","",Hilfe!$K19)</f>
        <v>1.0228</v>
      </c>
      <c r="H24" s="153"/>
      <c r="I24" s="159">
        <f>IF(Berechnung!K19="","",Berechnung!K19)</f>
      </c>
      <c r="J24" s="155" t="str">
        <f t="shared" si="0"/>
        <v>Fehlt</v>
      </c>
      <c r="K24" s="156">
        <f>IF(J24="Richtig!",1,IF(J24="Falsch",0.5,IF(J24="Fehlt",0,"")))</f>
        <v>0</v>
      </c>
      <c r="L24" s="149" t="s">
        <v>59</v>
      </c>
      <c r="M24" s="150">
        <f t="shared" si="2"/>
        <v>1</v>
      </c>
      <c r="N24" s="132"/>
      <c r="O24" s="157" t="s">
        <v>52</v>
      </c>
      <c r="P24" s="132"/>
    </row>
    <row r="25" spans="1:16" ht="15">
      <c r="A25" s="4"/>
      <c r="B25" s="4"/>
      <c r="C25" s="151" t="s">
        <v>25</v>
      </c>
      <c r="D25" s="4"/>
      <c r="E25" s="4"/>
      <c r="F25" s="4"/>
      <c r="G25" s="146">
        <f>IF(Hilfe!$K20="","",Hilfe!$K20)</f>
      </c>
      <c r="H25" s="4"/>
      <c r="I25" s="4">
        <f>IF(Berechnung!K20="","",Berechnung!K20)</f>
      </c>
      <c r="J25" s="155"/>
      <c r="K25" s="148"/>
      <c r="L25" s="149"/>
      <c r="M25" s="150"/>
      <c r="N25" s="132"/>
      <c r="O25" s="137" t="s">
        <v>52</v>
      </c>
      <c r="P25" s="132"/>
    </row>
    <row r="26" spans="1:16" ht="15">
      <c r="A26" s="4"/>
      <c r="B26" s="4"/>
      <c r="C26" s="4">
        <f>IF(AND(Hilfe!B21="",Hilfe!D21=""),"",Hilfe!B21&amp;Hilfe!C21&amp;"  "&amp;Hilfe!D21)</f>
      </c>
      <c r="D26" s="4"/>
      <c r="E26" s="4"/>
      <c r="F26" s="4"/>
      <c r="G26" s="152">
        <f>IF(Hilfe!$K31="","",Hilfe!$K31)</f>
      </c>
      <c r="H26" s="153"/>
      <c r="I26" s="154">
        <f>IF(Berechnung!K21="","",Berechnung!K21)</f>
      </c>
      <c r="J26" s="155">
        <f t="shared" si="0"/>
      </c>
      <c r="K26" s="156">
        <f t="shared" si="1"/>
      </c>
      <c r="L26" s="149" t="s">
        <v>59</v>
      </c>
      <c r="M26" s="150">
        <f t="shared" si="2"/>
      </c>
      <c r="N26" s="132"/>
      <c r="O26" s="157">
        <f>IF(Dateneingabe!B42="","","x")</f>
      </c>
      <c r="P26" s="132"/>
    </row>
    <row r="27" spans="1:16" ht="15">
      <c r="A27" s="4"/>
      <c r="B27" s="4"/>
      <c r="C27" s="4">
        <f>IF(AND(Hilfe!B22="",Hilfe!D22=""),"",Hilfe!B22&amp;Hilfe!C22&amp;"  "&amp;Hilfe!D22)</f>
      </c>
      <c r="D27" s="4"/>
      <c r="E27" s="4"/>
      <c r="F27" s="4"/>
      <c r="G27" s="152">
        <f>IF(Hilfe!$K32="","",Hilfe!$K32)</f>
      </c>
      <c r="H27" s="153"/>
      <c r="I27" s="154">
        <f>IF(Berechnung!K22="","",Berechnung!K22)</f>
      </c>
      <c r="J27" s="155">
        <f t="shared" si="0"/>
      </c>
      <c r="K27" s="156">
        <f t="shared" si="1"/>
      </c>
      <c r="L27" s="149" t="s">
        <v>59</v>
      </c>
      <c r="M27" s="150">
        <f>IF(O27="","",1)</f>
      </c>
      <c r="N27" s="132"/>
      <c r="O27" s="157">
        <f>IF(Dateneingabe!B44="","","x")</f>
      </c>
      <c r="P27" s="132"/>
    </row>
    <row r="28" spans="1:16" ht="15">
      <c r="A28" s="4"/>
      <c r="B28" s="4"/>
      <c r="C28" s="4">
        <f>IF(AND(Hilfe!B23="",Hilfe!D23=""),"",Hilfe!B23&amp;Hilfe!C23&amp;"  "&amp;Hilfe!D23)</f>
      </c>
      <c r="D28" s="4"/>
      <c r="E28" s="4"/>
      <c r="F28" s="4"/>
      <c r="G28" s="152">
        <f>IF(Hilfe!$K33="","",Hilfe!$K33)</f>
      </c>
      <c r="H28" s="153"/>
      <c r="I28" s="154">
        <f>IF(Berechnung!K23="","",Berechnung!K23)</f>
      </c>
      <c r="J28" s="155">
        <f t="shared" si="0"/>
      </c>
      <c r="K28" s="156">
        <f t="shared" si="1"/>
      </c>
      <c r="L28" s="149" t="s">
        <v>59</v>
      </c>
      <c r="M28" s="150">
        <f t="shared" si="2"/>
      </c>
      <c r="N28" s="132"/>
      <c r="O28" s="157">
        <f>IF(Dateneingabe!B46="","","x")</f>
      </c>
      <c r="P28" s="132"/>
    </row>
    <row r="29" spans="1:16" ht="15">
      <c r="A29" s="4"/>
      <c r="B29" s="4"/>
      <c r="C29" s="4">
        <f>IF(AND(Hilfe!B24="",Hilfe!D24=""),"",Hilfe!B24&amp;Hilfe!C24&amp;"  "&amp;Hilfe!D24)</f>
      </c>
      <c r="D29" s="4"/>
      <c r="E29" s="4"/>
      <c r="F29" s="4"/>
      <c r="G29" s="152">
        <f>IF(Hilfe!$K34="","",Hilfe!$K34)</f>
      </c>
      <c r="H29" s="153"/>
      <c r="I29" s="154">
        <f>IF(Berechnung!K24="","",Berechnung!K24)</f>
      </c>
      <c r="J29" s="155">
        <f t="shared" si="0"/>
      </c>
      <c r="K29" s="156">
        <f t="shared" si="1"/>
      </c>
      <c r="L29" s="149" t="s">
        <v>59</v>
      </c>
      <c r="M29" s="150">
        <f t="shared" si="2"/>
      </c>
      <c r="N29" s="132"/>
      <c r="O29" s="157">
        <f>IF(Dateneingabe!B48="","","x")</f>
      </c>
      <c r="P29" s="132"/>
    </row>
    <row r="30" spans="1:16" ht="15">
      <c r="A30" s="4"/>
      <c r="B30" s="4"/>
      <c r="C30" s="4">
        <f>IF(AND(Hilfe!B25="",Hilfe!D25=""),"",Hilfe!B25&amp;Hilfe!C25&amp;"  "&amp;Hilfe!D25)</f>
      </c>
      <c r="D30" s="4"/>
      <c r="E30" s="4"/>
      <c r="F30" s="4"/>
      <c r="G30" s="152">
        <f>IF(Hilfe!$K35="","",Hilfe!$K35)</f>
      </c>
      <c r="H30" s="153"/>
      <c r="I30" s="154">
        <f>IF(Berechnung!K25="","",Berechnung!K25)</f>
      </c>
      <c r="J30" s="155">
        <f t="shared" si="0"/>
      </c>
      <c r="K30" s="156">
        <f t="shared" si="1"/>
      </c>
      <c r="L30" s="149" t="s">
        <v>59</v>
      </c>
      <c r="M30" s="150">
        <f t="shared" si="2"/>
      </c>
      <c r="N30" s="132"/>
      <c r="O30" s="157">
        <f>IF(Dateneingabe!B50="","","x")</f>
      </c>
      <c r="P30" s="132"/>
    </row>
    <row r="31" spans="1:16" ht="15">
      <c r="A31" s="4"/>
      <c r="B31" s="4"/>
      <c r="C31" s="4">
        <f>IF(AND(Hilfe!B26="",Hilfe!D26=""),"",Hilfe!B26&amp;Hilfe!C26&amp;"  "&amp;Hilfe!D26)</f>
      </c>
      <c r="D31" s="4"/>
      <c r="E31" s="4"/>
      <c r="F31" s="4"/>
      <c r="G31" s="152">
        <f>IF(Hilfe!$K36="","",Hilfe!$K36)</f>
      </c>
      <c r="H31" s="153"/>
      <c r="I31" s="154">
        <f>IF(Berechnung!K26="","",Berechnung!K26)</f>
      </c>
      <c r="J31" s="155">
        <f t="shared" si="0"/>
      </c>
      <c r="K31" s="156">
        <f t="shared" si="1"/>
      </c>
      <c r="L31" s="149" t="s">
        <v>59</v>
      </c>
      <c r="M31" s="150">
        <f t="shared" si="2"/>
      </c>
      <c r="N31" s="132"/>
      <c r="O31" s="157">
        <f>IF(Dateneingabe!B52="","","x")</f>
      </c>
      <c r="P31" s="132"/>
    </row>
    <row r="32" spans="1:16" ht="15">
      <c r="A32" s="4"/>
      <c r="B32" s="4"/>
      <c r="C32" s="4">
        <f>IF(AND(Hilfe!B27="",Hilfe!D27=""),"",Hilfe!B27&amp;Hilfe!C27&amp;"  "&amp;Hilfe!D27)</f>
      </c>
      <c r="D32" s="4"/>
      <c r="E32" s="4"/>
      <c r="F32" s="4"/>
      <c r="G32" s="152">
        <f>IF(Hilfe!$K37="","",Hilfe!$K37)</f>
      </c>
      <c r="H32" s="153"/>
      <c r="I32" s="154">
        <f>IF(Berechnung!K27="","",Berechnung!K27)</f>
      </c>
      <c r="J32" s="155">
        <f t="shared" si="0"/>
      </c>
      <c r="K32" s="156">
        <f t="shared" si="1"/>
      </c>
      <c r="L32" s="149" t="s">
        <v>59</v>
      </c>
      <c r="M32" s="150">
        <f t="shared" si="2"/>
      </c>
      <c r="N32" s="132"/>
      <c r="O32" s="157">
        <f>IF(Dateneingabe!B54="","","x")</f>
      </c>
      <c r="P32" s="132"/>
    </row>
    <row r="33" spans="1:16" ht="15">
      <c r="A33" s="4"/>
      <c r="B33" s="4"/>
      <c r="C33" s="4">
        <f>IF(AND(Hilfe!B28="",Hilfe!D28=""),"",Hilfe!B28&amp;Hilfe!C28&amp;"  "&amp;Hilfe!D28)</f>
      </c>
      <c r="D33" s="4"/>
      <c r="E33" s="4"/>
      <c r="F33" s="4"/>
      <c r="G33" s="152">
        <f>IF(Hilfe!$K38="","",Hilfe!$K38)</f>
      </c>
      <c r="H33" s="153"/>
      <c r="I33" s="154">
        <f>IF(Berechnung!K28="","",Berechnung!K28)</f>
      </c>
      <c r="J33" s="155">
        <f t="shared" si="0"/>
      </c>
      <c r="K33" s="156">
        <f t="shared" si="1"/>
      </c>
      <c r="L33" s="149" t="s">
        <v>59</v>
      </c>
      <c r="M33" s="150">
        <f t="shared" si="2"/>
      </c>
      <c r="N33" s="132"/>
      <c r="O33" s="157">
        <f>IF(Dateneingabe!B56="","","x")</f>
      </c>
      <c r="P33" s="132"/>
    </row>
    <row r="34" spans="1:16" ht="15">
      <c r="A34" s="4"/>
      <c r="B34" s="4"/>
      <c r="C34" s="4">
        <f>IF(AND(Hilfe!B29="",Hilfe!D29=""),"",Hilfe!B29&amp;Hilfe!C29&amp;"  "&amp;Hilfe!D29)</f>
      </c>
      <c r="D34" s="4"/>
      <c r="E34" s="4"/>
      <c r="F34" s="4"/>
      <c r="G34" s="152">
        <f>IF(Hilfe!$K39="","",Hilfe!$K39)</f>
      </c>
      <c r="H34" s="153"/>
      <c r="I34" s="154">
        <f>IF(Berechnung!K29="","",Berechnung!K29)</f>
      </c>
      <c r="J34" s="155">
        <f t="shared" si="0"/>
      </c>
      <c r="K34" s="156">
        <f t="shared" si="1"/>
      </c>
      <c r="L34" s="149" t="s">
        <v>59</v>
      </c>
      <c r="M34" s="150">
        <f t="shared" si="2"/>
      </c>
      <c r="N34" s="132"/>
      <c r="O34" s="157">
        <f>IF(Dateneingabe!B58="","","x")</f>
      </c>
      <c r="P34" s="132"/>
    </row>
    <row r="35" spans="1:16" ht="15">
      <c r="A35" s="4"/>
      <c r="B35" s="4"/>
      <c r="C35" s="4" t="str">
        <f>IF(AND(Hilfe!B30="",Hilfe!D30=""),"",Hilfe!B30&amp;Hilfe!C30&amp;"  "&amp;Hilfe!D30)</f>
        <v>Beilage  </v>
      </c>
      <c r="D35" s="4"/>
      <c r="E35" s="4"/>
      <c r="F35" s="4"/>
      <c r="G35" s="152">
        <f>IF(Hilfe!$K40="","",Hilfe!$K40)</f>
      </c>
      <c r="H35" s="153"/>
      <c r="I35" s="154">
        <f>IF(Berechnung!K30="","",Berechnung!K30)</f>
      </c>
      <c r="J35" s="155">
        <f t="shared" si="0"/>
      </c>
      <c r="K35" s="156">
        <f t="shared" si="1"/>
      </c>
      <c r="L35" s="149" t="s">
        <v>59</v>
      </c>
      <c r="M35" s="150">
        <f t="shared" si="2"/>
      </c>
      <c r="N35" s="132"/>
      <c r="O35" s="157">
        <f>IF(Dateneingabe!B60="","","x")</f>
      </c>
      <c r="P35" s="132"/>
    </row>
    <row r="36" spans="1:16" ht="15.75" thickBot="1">
      <c r="A36" s="4"/>
      <c r="B36" s="4"/>
      <c r="C36" s="4">
        <f>IF(AND(Hilfe!B31="",Hilfe!D31=""),"",Hilfe!B31&amp;Hilfe!C31&amp;"  "&amp;Hilfe!D31)</f>
      </c>
      <c r="D36" s="4"/>
      <c r="E36" s="4"/>
      <c r="F36" s="4"/>
      <c r="G36" s="152">
        <f>IF(Hilfe!$K41="","",Hilfe!$K41)</f>
      </c>
      <c r="H36" s="153"/>
      <c r="I36" s="154">
        <f>IF(Berechnung!K31="","",Berechnung!K31)</f>
      </c>
      <c r="J36" s="155">
        <f t="shared" si="0"/>
      </c>
      <c r="K36" s="156">
        <f t="shared" si="1"/>
      </c>
      <c r="L36" s="149" t="s">
        <v>59</v>
      </c>
      <c r="M36" s="150">
        <f t="shared" si="2"/>
      </c>
      <c r="N36" s="132"/>
      <c r="O36" s="157">
        <f>IF(Dateneingabe!B62="","","x")</f>
      </c>
      <c r="P36" s="132"/>
    </row>
    <row r="37" spans="1:16" ht="15.75" thickBot="1">
      <c r="A37" s="4"/>
      <c r="B37" s="4"/>
      <c r="C37" s="4" t="str">
        <f>"Wareneinsatz - "&amp;Hilfe!D1</f>
        <v>Wareneinsatz - Salade russe </v>
      </c>
      <c r="D37" s="4"/>
      <c r="E37" s="4"/>
      <c r="F37" s="4"/>
      <c r="G37" s="158">
        <f>IF(Hilfe!$K42="","",Hilfe!$K42)</f>
        <v>1.0228</v>
      </c>
      <c r="H37" s="153"/>
      <c r="I37" s="159">
        <f>IF(Berechnung!K32="","",Berechnung!K32)</f>
      </c>
      <c r="J37" s="155" t="str">
        <f t="shared" si="0"/>
        <v>Fehlt</v>
      </c>
      <c r="K37" s="156">
        <f>IF(J37="Richtig!",1,IF(J37="Falsch",0.5,IF(J37="Fehlt",0,"")))</f>
        <v>0</v>
      </c>
      <c r="L37" s="149" t="s">
        <v>59</v>
      </c>
      <c r="M37" s="150">
        <f t="shared" si="2"/>
        <v>1</v>
      </c>
      <c r="N37" s="132"/>
      <c r="O37" s="157" t="s">
        <v>52</v>
      </c>
      <c r="P37" s="132"/>
    </row>
    <row r="38" spans="1:16" ht="15" hidden="1">
      <c r="A38" s="4"/>
      <c r="B38" s="145" t="s">
        <v>60</v>
      </c>
      <c r="C38" s="145" t="s">
        <v>61</v>
      </c>
      <c r="D38" s="4"/>
      <c r="E38" s="4"/>
      <c r="F38" s="4"/>
      <c r="G38" s="146"/>
      <c r="H38" s="4"/>
      <c r="I38" s="4"/>
      <c r="J38" s="155"/>
      <c r="K38" s="148"/>
      <c r="L38" s="149"/>
      <c r="M38" s="150"/>
      <c r="N38" s="132"/>
      <c r="O38" s="137"/>
      <c r="P38" s="132"/>
    </row>
    <row r="39" spans="1:16" ht="15.75" hidden="1" thickBot="1">
      <c r="A39" s="4"/>
      <c r="B39" s="4"/>
      <c r="C39" s="4" t="s">
        <v>62</v>
      </c>
      <c r="D39" s="4"/>
      <c r="E39" s="4"/>
      <c r="F39" s="4"/>
      <c r="G39" s="160">
        <f>IF(Hilfe!$H37="","",Hilfe!$H37)</f>
      </c>
      <c r="H39" s="153"/>
      <c r="I39" s="161">
        <f>IF(Berechnung!I37="","",Berechnung!I37)</f>
      </c>
      <c r="J39" s="155">
        <f t="shared" si="0"/>
      </c>
      <c r="K39" s="156">
        <f>IF(J39="Richtig!",1,IF(J39="Falsch",0,IF(J39="Fehlt",0,"")))</f>
      </c>
      <c r="L39" s="149" t="s">
        <v>59</v>
      </c>
      <c r="M39" s="150">
        <f t="shared" si="2"/>
      </c>
      <c r="N39" s="132"/>
      <c r="O39" s="157"/>
      <c r="P39" s="132"/>
    </row>
    <row r="40" spans="1:16" ht="15.75" hidden="1" thickBot="1">
      <c r="A40" s="4"/>
      <c r="B40" s="4"/>
      <c r="C40" s="4" t="s">
        <v>43</v>
      </c>
      <c r="D40" s="4"/>
      <c r="E40" s="4"/>
      <c r="F40" s="4"/>
      <c r="G40" s="158">
        <f>IF(Hilfe!$H38="","",Hilfe!$H38)</f>
      </c>
      <c r="H40" s="153"/>
      <c r="I40" s="159">
        <f>IF(Berechnung!I38="","",Berechnung!I38)</f>
      </c>
      <c r="J40" s="155">
        <f t="shared" si="0"/>
      </c>
      <c r="K40" s="156">
        <f>IF(J40="Richtig!",1,IF(J40="Falsch",0.5,IF(J40="Fehlt",0,"")))</f>
      </c>
      <c r="L40" s="149" t="s">
        <v>59</v>
      </c>
      <c r="M40" s="150">
        <f t="shared" si="2"/>
      </c>
      <c r="N40" s="132"/>
      <c r="O40" s="157"/>
      <c r="P40" s="132"/>
    </row>
    <row r="41" spans="1:16" ht="15.75" hidden="1" thickBot="1">
      <c r="A41" s="4"/>
      <c r="B41" s="4"/>
      <c r="C41" s="4" t="s">
        <v>8</v>
      </c>
      <c r="D41" s="4"/>
      <c r="E41" s="4"/>
      <c r="F41" s="4"/>
      <c r="G41" s="158">
        <f>IF(Hilfe!$H39="","",Hilfe!$H39)</f>
      </c>
      <c r="H41" s="153"/>
      <c r="I41" s="159">
        <f>IF(Berechnung!I39="","",Berechnung!I39)</f>
      </c>
      <c r="J41" s="155">
        <f t="shared" si="0"/>
      </c>
      <c r="K41" s="156">
        <f>IF(J41="Richtig!",1,IF(J41="Falsch",0.5,IF(J41="Fehlt",0,"")))</f>
      </c>
      <c r="L41" s="149" t="s">
        <v>59</v>
      </c>
      <c r="M41" s="150">
        <f t="shared" si="2"/>
      </c>
      <c r="N41" s="132"/>
      <c r="O41" s="157"/>
      <c r="P41" s="132"/>
    </row>
    <row r="42" spans="1:16" ht="15.75" hidden="1" thickBot="1">
      <c r="A42" s="4"/>
      <c r="B42" s="4"/>
      <c r="C42" s="4" t="s">
        <v>49</v>
      </c>
      <c r="D42" s="4"/>
      <c r="E42" s="4"/>
      <c r="F42" s="4"/>
      <c r="G42" s="158">
        <f>IF(Hilfe!$H40="","",Hilfe!$H40)</f>
      </c>
      <c r="H42" s="153"/>
      <c r="I42" s="159">
        <f>IF(Berechnung!I40="","",Berechnung!I40)</f>
      </c>
      <c r="J42" s="155">
        <f t="shared" si="0"/>
      </c>
      <c r="K42" s="156">
        <f>IF(J42="Richtig!",1,IF(J42="Falsch",0.5,IF(J42="Fehlt",0,"")))</f>
      </c>
      <c r="L42" s="149" t="s">
        <v>59</v>
      </c>
      <c r="M42" s="150">
        <f t="shared" si="2"/>
      </c>
      <c r="N42" s="132"/>
      <c r="O42" s="157"/>
      <c r="P42" s="132"/>
    </row>
    <row r="43" spans="1:16" ht="15.75" hidden="1" thickBot="1">
      <c r="A43" s="4"/>
      <c r="B43" s="4"/>
      <c r="C43" s="4" t="s">
        <v>46</v>
      </c>
      <c r="D43" s="4"/>
      <c r="E43" s="4"/>
      <c r="F43" s="4"/>
      <c r="G43" s="158">
        <f>IF(Hilfe!$H42="","",Hilfe!$H42)</f>
        <v>0.9537999999999999</v>
      </c>
      <c r="H43" s="153"/>
      <c r="I43" s="159">
        <f>IF(Berechnung!I42="","",Berechnung!I42)</f>
      </c>
      <c r="J43" s="155">
        <f t="shared" si="0"/>
      </c>
      <c r="K43" s="156">
        <f>IF(J43="Richtig!",1,IF(J43="Falsch",0.5,IF(J43="Fehlt",0,"")))</f>
      </c>
      <c r="L43" s="149" t="s">
        <v>59</v>
      </c>
      <c r="M43" s="150">
        <f t="shared" si="2"/>
      </c>
      <c r="N43" s="132"/>
      <c r="O43" s="157"/>
      <c r="P43" s="132"/>
    </row>
    <row r="44" spans="1:16" ht="15">
      <c r="A44" s="4"/>
      <c r="B44" s="4"/>
      <c r="C44" s="4"/>
      <c r="D44" s="4"/>
      <c r="E44" s="4"/>
      <c r="F44" s="4"/>
      <c r="G44" s="146"/>
      <c r="H44" s="4"/>
      <c r="I44" s="4"/>
      <c r="J44" s="147"/>
      <c r="K44" s="148"/>
      <c r="L44" s="149"/>
      <c r="M44" s="150"/>
      <c r="N44" s="132"/>
      <c r="O44" s="157" t="s">
        <v>52</v>
      </c>
      <c r="P44" s="132"/>
    </row>
    <row r="45" spans="1:16" ht="15">
      <c r="A45" s="162" t="s">
        <v>63</v>
      </c>
      <c r="B45" s="163"/>
      <c r="C45" s="163"/>
      <c r="D45" s="163"/>
      <c r="E45" s="163"/>
      <c r="F45" s="163"/>
      <c r="G45" s="163"/>
      <c r="H45" s="163"/>
      <c r="I45" s="163"/>
      <c r="J45" s="164">
        <f>SUM(K9:K44)</f>
        <v>0</v>
      </c>
      <c r="K45" s="366">
        <f>SUM(M9:M44)</f>
        <v>12</v>
      </c>
      <c r="L45" s="366"/>
      <c r="M45" s="366"/>
      <c r="N45" s="132"/>
      <c r="O45" s="157" t="s">
        <v>52</v>
      </c>
      <c r="P45" s="132"/>
    </row>
    <row r="46" spans="1:16" ht="3" customHeight="1">
      <c r="A46" s="165"/>
      <c r="B46" s="165"/>
      <c r="C46" s="165"/>
      <c r="D46" s="165"/>
      <c r="E46" s="165"/>
      <c r="F46" s="165"/>
      <c r="G46" s="165"/>
      <c r="H46" s="165"/>
      <c r="I46" s="165"/>
      <c r="J46" s="166"/>
      <c r="K46" s="165"/>
      <c r="L46" s="165"/>
      <c r="M46" s="167"/>
      <c r="N46" s="132"/>
      <c r="O46" s="296" t="s">
        <v>52</v>
      </c>
      <c r="P46" s="132"/>
    </row>
    <row r="47" spans="1:16" ht="3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32"/>
      <c r="O47" s="132"/>
      <c r="P47" s="132"/>
    </row>
    <row r="48" spans="1:16" ht="15">
      <c r="A48" s="168" t="s">
        <v>64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</row>
    <row r="49" spans="1:16" ht="15">
      <c r="A49" s="169"/>
      <c r="B49" s="169" t="s">
        <v>65</v>
      </c>
      <c r="C49" s="132"/>
      <c r="D49" s="132"/>
      <c r="E49" s="170"/>
      <c r="F49" s="171">
        <f>SUM(K9:K44)</f>
        <v>0</v>
      </c>
      <c r="G49" s="172">
        <f>SUM(M9:M44)</f>
        <v>12</v>
      </c>
      <c r="H49" s="173"/>
      <c r="I49" s="173"/>
      <c r="J49" s="173"/>
      <c r="K49" s="132"/>
      <c r="L49" s="174"/>
      <c r="M49" s="172"/>
      <c r="N49" s="132"/>
      <c r="O49" s="132"/>
      <c r="P49" s="132"/>
    </row>
    <row r="50" spans="1:16" ht="19.5" customHeight="1">
      <c r="A50" s="44"/>
      <c r="B50" s="44"/>
      <c r="C50" s="175">
        <f>D50-I54</f>
        <v>11</v>
      </c>
      <c r="D50" s="176">
        <f>G49</f>
        <v>12</v>
      </c>
      <c r="E50" s="177" t="str">
        <f>IF(O1="","",IF(AND(F49&gt;=C50-0.5,F49&lt;=D50),"u","j"))</f>
        <v>j</v>
      </c>
      <c r="F50" s="178">
        <f>IF(OR(F49=C50-0.5,F49=C50),"-","")</f>
      </c>
      <c r="G50" s="179"/>
      <c r="H50" s="179"/>
      <c r="I50" s="180"/>
      <c r="J50" s="181"/>
      <c r="K50" s="182"/>
      <c r="L50" s="182"/>
      <c r="M50" s="182"/>
      <c r="N50" s="132"/>
      <c r="O50" s="132"/>
      <c r="P50" s="132"/>
    </row>
    <row r="51" spans="1:16" ht="19.5" customHeight="1">
      <c r="A51" s="44"/>
      <c r="B51" s="44"/>
      <c r="C51" s="175">
        <f>D51-I54</f>
        <v>9</v>
      </c>
      <c r="D51" s="176">
        <f>C50-1</f>
        <v>10</v>
      </c>
      <c r="E51" s="177" t="str">
        <f>IF(O1="","",IF(AND(F49&gt;=C51-0.5,F49&lt;=D51),"v","k"))</f>
        <v>k</v>
      </c>
      <c r="F51" s="178">
        <f>IF(OR(F49=C51-0.5,F49=C51),"-",IF(OR(F49=D51-0.5,F49=D51),"+",""))</f>
      </c>
      <c r="G51" s="179"/>
      <c r="H51" s="179"/>
      <c r="I51" s="180"/>
      <c r="J51" s="181"/>
      <c r="K51" s="182"/>
      <c r="L51" s="182"/>
      <c r="M51" s="182"/>
      <c r="N51" s="132"/>
      <c r="O51" s="132"/>
      <c r="P51" s="132"/>
    </row>
    <row r="52" spans="1:16" ht="19.5" customHeight="1">
      <c r="A52" s="44"/>
      <c r="B52" s="44"/>
      <c r="C52" s="175">
        <f>D52-I54</f>
        <v>7</v>
      </c>
      <c r="D52" s="176">
        <f>C51-1</f>
        <v>8</v>
      </c>
      <c r="E52" s="177" t="str">
        <f>IF(O1="","",IF(AND(F49&gt;=C52-0.5,F49&lt;=D52),"w","l"))</f>
        <v>l</v>
      </c>
      <c r="F52" s="178">
        <f>IF(OR(F49=C52-0.5,F49=C52),"-",IF(OR(F49=D52-0.5,F49=D52),"+",""))</f>
      </c>
      <c r="G52" s="179"/>
      <c r="H52" s="179"/>
      <c r="I52" s="180"/>
      <c r="J52" s="181"/>
      <c r="K52" s="182"/>
      <c r="L52" s="182"/>
      <c r="M52" s="182"/>
      <c r="N52" s="132"/>
      <c r="O52" s="132"/>
      <c r="P52" s="132"/>
    </row>
    <row r="53" spans="1:16" ht="19.5" customHeight="1">
      <c r="A53" s="44"/>
      <c r="B53" s="44"/>
      <c r="C53" s="175">
        <f>D53-I54</f>
        <v>5</v>
      </c>
      <c r="D53" s="176">
        <f>C52-1</f>
        <v>6</v>
      </c>
      <c r="E53" s="177" t="str">
        <f>IF(O1="","",IF(AND(F49&gt;=C53-0.5,F49&lt;=D53),"x","m"))</f>
        <v>m</v>
      </c>
      <c r="F53" s="178">
        <f>IF(OR(F49=C53-0.5,F49=C53),"-",IF(OR(F49=D53-0.5,F49=D53),"+",""))</f>
      </c>
      <c r="G53" s="183" t="s">
        <v>66</v>
      </c>
      <c r="H53" s="184"/>
      <c r="I53" s="185">
        <v>0.08</v>
      </c>
      <c r="J53" s="186"/>
      <c r="K53" s="182"/>
      <c r="L53" s="182"/>
      <c r="M53" s="182"/>
      <c r="N53" s="132"/>
      <c r="O53" s="132"/>
      <c r="P53" s="132"/>
    </row>
    <row r="54" spans="1:16" ht="19.5" customHeight="1">
      <c r="A54" s="44"/>
      <c r="B54" s="44"/>
      <c r="C54" s="175">
        <v>0</v>
      </c>
      <c r="D54" s="176">
        <f>C53-1</f>
        <v>4</v>
      </c>
      <c r="E54" s="177" t="str">
        <f>IF(O1="","",IF(AND(F49&gt;=C54-0.5,F49&lt;=D54),"y","n"))</f>
        <v>y</v>
      </c>
      <c r="F54" s="178">
        <f>IF(OR(F49=D54-1,F49=D54-0.5,F49=D54),"+","")</f>
      </c>
      <c r="G54" s="186"/>
      <c r="H54" s="186"/>
      <c r="I54" s="367">
        <f>ROUND(G49*I53,0)</f>
        <v>1</v>
      </c>
      <c r="J54" s="367"/>
      <c r="K54" s="182"/>
      <c r="L54" s="182"/>
      <c r="M54" s="182"/>
      <c r="N54" s="132"/>
      <c r="O54" s="132"/>
      <c r="P54" s="132"/>
    </row>
    <row r="55" spans="1:16" ht="19.5" customHeigh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</row>
    <row r="56" spans="1:16" ht="15" hidden="1">
      <c r="A56" s="187"/>
      <c r="B56" s="187"/>
      <c r="C56" s="187" t="s">
        <v>67</v>
      </c>
      <c r="D56" s="188"/>
      <c r="E56" s="189"/>
      <c r="F56" s="190">
        <f>SUM(F49)</f>
        <v>0</v>
      </c>
      <c r="G56" s="191">
        <f>SUM(G49)</f>
        <v>12</v>
      </c>
      <c r="H56" s="192"/>
      <c r="I56" s="193">
        <f>IF(F56=0,"",F56/G56)</f>
      </c>
      <c r="J56" s="192"/>
      <c r="K56" s="192"/>
      <c r="L56" s="194"/>
      <c r="M56" s="191"/>
      <c r="N56" s="132"/>
      <c r="O56" s="132"/>
      <c r="P56" s="132"/>
    </row>
    <row r="57" spans="1:16" ht="6" customHeight="1" hidden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ht="24.75" customHeight="1" hidden="1">
      <c r="A58" s="132"/>
      <c r="B58" s="132"/>
      <c r="C58" s="295" t="s">
        <v>68</v>
      </c>
      <c r="D58" s="132"/>
      <c r="E58" s="132"/>
      <c r="F58" s="195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ht="19.5" customHeight="1" hidden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</sheetData>
  <sheetProtection sheet="1" objects="1" scenarios="1" selectLockedCells="1" selectUnlockedCells="1"/>
  <mergeCells count="2">
    <mergeCell ref="K45:M45"/>
    <mergeCell ref="I54:J54"/>
  </mergeCells>
  <conditionalFormatting sqref="A47:M49 A3:M3 O47:O55 N1:N55 P1:P55 A55:M58">
    <cfRule type="cellIs" priority="11" dxfId="43" operator="equal" stopIfTrue="1">
      <formula>"Falsch"</formula>
    </cfRule>
    <cfRule type="expression" priority="12" dxfId="44" stopIfTrue="1">
      <formula>$O$1&lt;&gt;"x"</formula>
    </cfRule>
  </conditionalFormatting>
  <conditionalFormatting sqref="A50:M50">
    <cfRule type="cellIs" priority="13" dxfId="45" operator="equal" stopIfTrue="1">
      <formula>"u"</formula>
    </cfRule>
    <cfRule type="expression" priority="14" dxfId="44" stopIfTrue="1">
      <formula>$O$1&lt;&gt;"x"</formula>
    </cfRule>
  </conditionalFormatting>
  <conditionalFormatting sqref="A51:M51">
    <cfRule type="cellIs" priority="15" dxfId="45" operator="equal" stopIfTrue="1">
      <formula>"v"</formula>
    </cfRule>
    <cfRule type="expression" priority="16" dxfId="44" stopIfTrue="1">
      <formula>$O$1&lt;&gt;"x"</formula>
    </cfRule>
  </conditionalFormatting>
  <conditionalFormatting sqref="A52:M52">
    <cfRule type="cellIs" priority="17" dxfId="45" operator="equal" stopIfTrue="1">
      <formula>"w"</formula>
    </cfRule>
    <cfRule type="expression" priority="18" dxfId="44" stopIfTrue="1">
      <formula>$O$1&lt;&gt;"x"</formula>
    </cfRule>
  </conditionalFormatting>
  <conditionalFormatting sqref="A53:M53">
    <cfRule type="cellIs" priority="19" dxfId="45" operator="equal" stopIfTrue="1">
      <formula>"x"</formula>
    </cfRule>
    <cfRule type="expression" priority="20" dxfId="46" stopIfTrue="1">
      <formula>$O$1&lt;&gt;"x"</formula>
    </cfRule>
  </conditionalFormatting>
  <conditionalFormatting sqref="A54:M54">
    <cfRule type="cellIs" priority="21" dxfId="45" operator="equal" stopIfTrue="1">
      <formula>"y"</formula>
    </cfRule>
    <cfRule type="expression" priority="22" dxfId="44" stopIfTrue="1">
      <formula>$O$1&lt;&gt;"x"</formula>
    </cfRule>
  </conditionalFormatting>
  <conditionalFormatting sqref="A46:M46 A4:M9">
    <cfRule type="cellIs" priority="23" dxfId="43" operator="equal" stopIfTrue="1">
      <formula>"Falsch"</formula>
    </cfRule>
    <cfRule type="expression" priority="24" dxfId="44" stopIfTrue="1">
      <formula>$O$1&lt;&gt;"x"</formula>
    </cfRule>
    <cfRule type="expression" priority="25" dxfId="46" stopIfTrue="1">
      <formula>$O4&lt;&gt;"x"</formula>
    </cfRule>
  </conditionalFormatting>
  <conditionalFormatting sqref="N56:P56">
    <cfRule type="cellIs" priority="9" dxfId="43" operator="equal" stopIfTrue="1">
      <formula>"Falsch"</formula>
    </cfRule>
    <cfRule type="expression" priority="10" dxfId="44" stopIfTrue="1">
      <formula>$O$1&lt;&gt;"x"</formula>
    </cfRule>
  </conditionalFormatting>
  <conditionalFormatting sqref="N57:P57">
    <cfRule type="cellIs" priority="7" dxfId="43" operator="equal" stopIfTrue="1">
      <formula>"Falsch"</formula>
    </cfRule>
    <cfRule type="expression" priority="8" dxfId="44" stopIfTrue="1">
      <formula>$O$1&lt;&gt;"x"</formula>
    </cfRule>
  </conditionalFormatting>
  <conditionalFormatting sqref="N58:P58">
    <cfRule type="cellIs" priority="5" dxfId="43" operator="equal" stopIfTrue="1">
      <formula>"Falsch"</formula>
    </cfRule>
    <cfRule type="expression" priority="6" dxfId="44" stopIfTrue="1">
      <formula>$O$1&lt;&gt;"x"</formula>
    </cfRule>
  </conditionalFormatting>
  <conditionalFormatting sqref="A59:P59">
    <cfRule type="cellIs" priority="1" dxfId="43" operator="equal" stopIfTrue="1">
      <formula>"Falsch"</formula>
    </cfRule>
    <cfRule type="expression" priority="2" dxfId="44" stopIfTrue="1">
      <formula>$O$1&lt;&gt;"x"</formula>
    </cfRule>
  </conditionalFormatting>
  <dataValidations count="2">
    <dataValidation type="list" allowBlank="1" showInputMessage="1" showErrorMessage="1" sqref="F58">
      <formula1>"Sehr gut,Gut,Befriedigend,Genügend,Nicht genügend"</formula1>
    </dataValidation>
    <dataValidation type="list" allowBlank="1" showInputMessage="1" showErrorMessage="1" sqref="O1">
      <formula1>"x"</formula1>
    </dataValidation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tabColor rgb="FF0000FF"/>
  </sheetPr>
  <dimension ref="A1:CB48"/>
  <sheetViews>
    <sheetView showGridLines="0" showRowColHeaders="0" zoomScalePageLayoutView="0" workbookViewId="0" topLeftCell="AB1">
      <pane xSplit="1" ySplit="2" topLeftCell="BC3" activePane="bottomRight" state="frozen"/>
      <selection pane="topLeft" activeCell="AB1" sqref="AB1"/>
      <selection pane="topRight" activeCell="AC1" sqref="AC1"/>
      <selection pane="bottomLeft" activeCell="AB3" sqref="AB3"/>
      <selection pane="bottomRight" activeCell="BC6" sqref="BC6:BZ25"/>
    </sheetView>
  </sheetViews>
  <sheetFormatPr defaultColWidth="0" defaultRowHeight="11.25" customHeight="1" zeroHeight="1"/>
  <cols>
    <col min="1" max="1" width="1.7109375" style="0" customWidth="1"/>
    <col min="2" max="2" width="6.7109375" style="0" customWidth="1"/>
    <col min="3" max="3" width="3.7109375" style="0" customWidth="1"/>
    <col min="4" max="4" width="14.7109375" style="0" customWidth="1"/>
    <col min="5" max="6" width="7.7109375" style="0" customWidth="1"/>
    <col min="7" max="7" width="3.7109375" style="0" customWidth="1"/>
    <col min="8" max="9" width="7.7109375" style="0" customWidth="1"/>
    <col min="10" max="10" width="3.7109375" style="0" customWidth="1"/>
    <col min="11" max="12" width="7.7109375" style="0" customWidth="1"/>
    <col min="13" max="13" width="3.7109375" style="0" customWidth="1"/>
    <col min="14" max="14" width="7.7109375" style="0" customWidth="1"/>
    <col min="15" max="16" width="1.7109375" style="0" customWidth="1"/>
    <col min="17" max="17" width="9.7109375" style="0" customWidth="1"/>
    <col min="18" max="18" width="3.421875" style="0" bestFit="1" customWidth="1"/>
    <col min="19" max="19" width="9.7109375" style="0" customWidth="1"/>
    <col min="20" max="20" width="2.7109375" style="0" customWidth="1"/>
    <col min="21" max="22" width="15.7109375" style="0" customWidth="1"/>
    <col min="23" max="24" width="12.7109375" style="0" customWidth="1"/>
    <col min="25" max="25" width="1.7109375" style="0" customWidth="1"/>
    <col min="26" max="26" width="2.7109375" style="0" customWidth="1"/>
    <col min="27" max="27" width="53.7109375" style="0" customWidth="1"/>
    <col min="28" max="28" width="0.85546875" style="0" customWidth="1"/>
    <col min="29" max="29" width="1.7109375" style="0" customWidth="1"/>
    <col min="30" max="30" width="6.7109375" style="0" customWidth="1"/>
    <col min="31" max="31" width="3.7109375" style="0" customWidth="1"/>
    <col min="32" max="32" width="14.7109375" style="0" customWidth="1"/>
    <col min="33" max="34" width="7.7109375" style="0" customWidth="1"/>
    <col min="35" max="35" width="3.7109375" style="0" customWidth="1"/>
    <col min="36" max="37" width="7.7109375" style="0" customWidth="1"/>
    <col min="38" max="38" width="3.7109375" style="0" customWidth="1"/>
    <col min="39" max="40" width="7.7109375" style="0" customWidth="1"/>
    <col min="41" max="41" width="3.7109375" style="0" customWidth="1"/>
    <col min="42" max="42" width="7.7109375" style="0" customWidth="1"/>
    <col min="43" max="44" width="1.7109375" style="0" customWidth="1"/>
    <col min="45" max="45" width="9.7109375" style="0" customWidth="1"/>
    <col min="46" max="46" width="3.421875" style="0" bestFit="1" customWidth="1"/>
    <col min="47" max="47" width="9.7109375" style="0" customWidth="1"/>
    <col min="48" max="48" width="2.7109375" style="0" customWidth="1"/>
    <col min="49" max="50" width="15.7109375" style="0" customWidth="1"/>
    <col min="51" max="52" width="12.7109375" style="0" customWidth="1"/>
    <col min="53" max="53" width="1.7109375" style="0" customWidth="1"/>
    <col min="54" max="54" width="12.7109375" style="0" customWidth="1"/>
    <col min="55" max="55" width="1.7109375" style="0" customWidth="1"/>
    <col min="56" max="56" width="6.7109375" style="0" customWidth="1"/>
    <col min="57" max="57" width="3.7109375" style="0" customWidth="1"/>
    <col min="58" max="58" width="14.7109375" style="0" customWidth="1"/>
    <col min="59" max="60" width="7.7109375" style="0" customWidth="1"/>
    <col min="61" max="61" width="3.7109375" style="0" customWidth="1"/>
    <col min="62" max="63" width="7.7109375" style="0" customWidth="1"/>
    <col min="64" max="64" width="3.7109375" style="0" customWidth="1"/>
    <col min="65" max="66" width="7.7109375" style="0" customWidth="1"/>
    <col min="67" max="67" width="3.7109375" style="0" customWidth="1"/>
    <col min="68" max="68" width="7.7109375" style="0" customWidth="1"/>
    <col min="69" max="70" width="1.7109375" style="0" customWidth="1"/>
    <col min="71" max="71" width="9.7109375" style="0" customWidth="1"/>
    <col min="72" max="72" width="3.421875" style="0" bestFit="1" customWidth="1"/>
    <col min="73" max="73" width="9.7109375" style="0" customWidth="1"/>
    <col min="74" max="74" width="2.7109375" style="0" customWidth="1"/>
    <col min="75" max="76" width="15.7109375" style="0" customWidth="1"/>
    <col min="77" max="78" width="12.7109375" style="0" customWidth="1"/>
    <col min="79" max="79" width="2.7109375" style="0" customWidth="1"/>
    <col min="80" max="80" width="11.421875" style="0" customWidth="1"/>
    <col min="81" max="16384" width="11.421875" style="0" hidden="1" customWidth="1"/>
  </cols>
  <sheetData>
    <row r="1" spans="1:80" ht="30" customHeight="1">
      <c r="A1" s="198"/>
      <c r="B1" s="199">
        <v>32</v>
      </c>
      <c r="C1" s="200" t="s">
        <v>37</v>
      </c>
      <c r="D1" s="201" t="str">
        <f>IF(Dateneingabe!C9="","",Dateneingabe!C9)</f>
        <v>Salade russe 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398" t="s">
        <v>69</v>
      </c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202" t="s">
        <v>70</v>
      </c>
      <c r="AB1" s="203"/>
      <c r="AC1" s="198"/>
      <c r="AD1" s="199">
        <v>32</v>
      </c>
      <c r="AE1" s="200" t="s">
        <v>37</v>
      </c>
      <c r="AF1" s="201" t="str">
        <f>IF(Dateneingabe!C9="","",Dateneingabe!C9)</f>
        <v>Salade russe </v>
      </c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398" t="s">
        <v>69</v>
      </c>
      <c r="AS1" s="398"/>
      <c r="AT1" s="398"/>
      <c r="AU1" s="398"/>
      <c r="AV1" s="398"/>
      <c r="AW1" s="398"/>
      <c r="AX1" s="398"/>
      <c r="AY1" s="398"/>
      <c r="AZ1" s="398"/>
      <c r="BA1" s="398"/>
      <c r="BB1" s="204"/>
      <c r="BC1" s="198"/>
      <c r="BD1" s="199">
        <v>32</v>
      </c>
      <c r="BE1" s="200" t="s">
        <v>37</v>
      </c>
      <c r="BF1" s="201" t="str">
        <f>IF(Dateneingabe!C9="","",Dateneingabe!C9)</f>
        <v>Salade russe </v>
      </c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398" t="s">
        <v>69</v>
      </c>
      <c r="BS1" s="398"/>
      <c r="BT1" s="398"/>
      <c r="BU1" s="398"/>
      <c r="BV1" s="398"/>
      <c r="BW1" s="398"/>
      <c r="BX1" s="398"/>
      <c r="BY1" s="398"/>
      <c r="BZ1" s="398"/>
      <c r="CA1" s="398"/>
      <c r="CB1" s="204"/>
    </row>
    <row r="2" spans="1:80" ht="39.7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7"/>
      <c r="Q2" s="208"/>
      <c r="R2" s="208"/>
      <c r="S2" s="208"/>
      <c r="T2" s="208"/>
      <c r="U2" s="204"/>
      <c r="V2" s="204"/>
      <c r="W2" s="204"/>
      <c r="X2" s="204"/>
      <c r="Y2" s="204"/>
      <c r="Z2" s="204"/>
      <c r="AA2" s="205"/>
      <c r="AB2" s="203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7"/>
      <c r="AS2" s="208"/>
      <c r="AT2" s="208"/>
      <c r="AU2" s="208"/>
      <c r="AV2" s="208"/>
      <c r="AW2" s="204"/>
      <c r="AX2" s="204"/>
      <c r="AY2" s="204"/>
      <c r="AZ2" s="204"/>
      <c r="BA2" s="204"/>
      <c r="BB2" s="204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7"/>
      <c r="BS2" s="208"/>
      <c r="BT2" s="208"/>
      <c r="BU2" s="208"/>
      <c r="BV2" s="208"/>
      <c r="BW2" s="204"/>
      <c r="BX2" s="204"/>
      <c r="BY2" s="204"/>
      <c r="BZ2" s="204"/>
      <c r="CA2" s="204"/>
      <c r="CB2" s="204"/>
    </row>
    <row r="3" spans="1:80" ht="15.75">
      <c r="A3" s="209"/>
      <c r="B3" s="399"/>
      <c r="C3" s="400"/>
      <c r="D3" s="401"/>
      <c r="E3" s="402"/>
      <c r="F3" s="210"/>
      <c r="G3" s="211"/>
      <c r="H3" s="212" t="s">
        <v>5</v>
      </c>
      <c r="I3" s="394" t="s">
        <v>5</v>
      </c>
      <c r="J3" s="395"/>
      <c r="K3" s="396"/>
      <c r="L3" s="394" t="s">
        <v>5</v>
      </c>
      <c r="M3" s="395"/>
      <c r="N3" s="396"/>
      <c r="O3" s="209"/>
      <c r="P3" s="207"/>
      <c r="Q3" s="208"/>
      <c r="R3" s="208"/>
      <c r="S3" s="208"/>
      <c r="T3" s="208"/>
      <c r="U3" s="204"/>
      <c r="V3" s="204"/>
      <c r="W3" s="204"/>
      <c r="X3" s="204"/>
      <c r="Y3" s="204"/>
      <c r="Z3" s="204"/>
      <c r="AA3" s="205"/>
      <c r="AB3" s="203"/>
      <c r="AC3" s="209"/>
      <c r="AD3" s="399"/>
      <c r="AE3" s="400"/>
      <c r="AF3" s="401"/>
      <c r="AG3" s="402"/>
      <c r="AH3" s="210"/>
      <c r="AI3" s="211"/>
      <c r="AJ3" s="212" t="s">
        <v>5</v>
      </c>
      <c r="AK3" s="394" t="s">
        <v>5</v>
      </c>
      <c r="AL3" s="395"/>
      <c r="AM3" s="396"/>
      <c r="AN3" s="394" t="s">
        <v>5</v>
      </c>
      <c r="AO3" s="395"/>
      <c r="AP3" s="396"/>
      <c r="AQ3" s="209"/>
      <c r="AR3" s="207"/>
      <c r="AS3" s="208"/>
      <c r="AT3" s="208"/>
      <c r="AU3" s="208"/>
      <c r="AV3" s="208"/>
      <c r="AW3" s="204"/>
      <c r="AX3" s="204"/>
      <c r="AY3" s="204"/>
      <c r="AZ3" s="204"/>
      <c r="BA3" s="204"/>
      <c r="BB3" s="204"/>
      <c r="BC3" s="209"/>
      <c r="BD3" s="399"/>
      <c r="BE3" s="400"/>
      <c r="BF3" s="401"/>
      <c r="BG3" s="402"/>
      <c r="BH3" s="210"/>
      <c r="BI3" s="211"/>
      <c r="BJ3" s="212" t="s">
        <v>5</v>
      </c>
      <c r="BK3" s="394" t="s">
        <v>5</v>
      </c>
      <c r="BL3" s="395"/>
      <c r="BM3" s="396"/>
      <c r="BN3" s="394" t="s">
        <v>5</v>
      </c>
      <c r="BO3" s="395"/>
      <c r="BP3" s="396"/>
      <c r="BQ3" s="209"/>
      <c r="BR3" s="207"/>
      <c r="BS3" s="208"/>
      <c r="BT3" s="208"/>
      <c r="BU3" s="208"/>
      <c r="BV3" s="208"/>
      <c r="BW3" s="204"/>
      <c r="BX3" s="204"/>
      <c r="BY3" s="204"/>
      <c r="BZ3" s="204"/>
      <c r="CA3" s="204"/>
      <c r="CB3" s="204"/>
    </row>
    <row r="4" spans="1:80" ht="36" customHeight="1">
      <c r="A4" s="206"/>
      <c r="B4" s="403"/>
      <c r="C4" s="404"/>
      <c r="D4" s="404"/>
      <c r="E4" s="405"/>
      <c r="F4" s="389">
        <f>IF(Dateneingabe!E10="","",Dateneingabe!E10)</f>
        <v>40935</v>
      </c>
      <c r="G4" s="397"/>
      <c r="H4" s="391"/>
      <c r="I4" s="389">
        <f>IF(Berechnung!I4="","",Berechnung!I4)</f>
        <v>41302</v>
      </c>
      <c r="J4" s="397"/>
      <c r="K4" s="391"/>
      <c r="L4" s="389">
        <f>IF(Berechnung!L4="","",Berechnung!L4)</f>
      </c>
      <c r="M4" s="390"/>
      <c r="N4" s="391"/>
      <c r="O4" s="206"/>
      <c r="P4" s="207"/>
      <c r="Q4" s="208"/>
      <c r="R4" s="208"/>
      <c r="S4" s="208"/>
      <c r="T4" s="208"/>
      <c r="U4" s="208"/>
      <c r="V4" s="208"/>
      <c r="W4" s="208"/>
      <c r="X4" s="208"/>
      <c r="Y4" s="208"/>
      <c r="Z4" s="204"/>
      <c r="AA4" s="205"/>
      <c r="AB4" s="203"/>
      <c r="AC4" s="206"/>
      <c r="AD4" s="403"/>
      <c r="AE4" s="404"/>
      <c r="AF4" s="404"/>
      <c r="AG4" s="405"/>
      <c r="AH4" s="389">
        <f>IF(Dateneingabe!E10="","",Dateneingabe!E10)</f>
        <v>40935</v>
      </c>
      <c r="AI4" s="397"/>
      <c r="AJ4" s="391"/>
      <c r="AK4" s="389">
        <f>IF(Berechnung!I4="","",Berechnung!I4)</f>
        <v>41302</v>
      </c>
      <c r="AL4" s="397"/>
      <c r="AM4" s="391"/>
      <c r="AN4" s="389">
        <f>IF(Berechnung!L4="","",Berechnung!L4)</f>
      </c>
      <c r="AO4" s="390"/>
      <c r="AP4" s="391"/>
      <c r="AQ4" s="206"/>
      <c r="AR4" s="207"/>
      <c r="AS4" s="208"/>
      <c r="AT4" s="208"/>
      <c r="AU4" s="208"/>
      <c r="AV4" s="208"/>
      <c r="AW4" s="208"/>
      <c r="AX4" s="208"/>
      <c r="AY4" s="208"/>
      <c r="AZ4" s="208"/>
      <c r="BA4" s="208"/>
      <c r="BB4" s="204"/>
      <c r="BC4" s="206"/>
      <c r="BD4" s="403"/>
      <c r="BE4" s="404"/>
      <c r="BF4" s="404"/>
      <c r="BG4" s="405"/>
      <c r="BH4" s="389">
        <f>IF(Dateneingabe!E10="","",Dateneingabe!E10)</f>
        <v>40935</v>
      </c>
      <c r="BI4" s="397"/>
      <c r="BJ4" s="391"/>
      <c r="BK4" s="389">
        <f>IF(Berechnung!I4="","",Berechnung!I4)</f>
        <v>41302</v>
      </c>
      <c r="BL4" s="397"/>
      <c r="BM4" s="391"/>
      <c r="BN4" s="389">
        <f>IF(Berechnung!L4="","",Berechnung!L4)</f>
      </c>
      <c r="BO4" s="390"/>
      <c r="BP4" s="391"/>
      <c r="BQ4" s="206"/>
      <c r="BR4" s="207"/>
      <c r="BS4" s="208"/>
      <c r="BT4" s="208"/>
      <c r="BU4" s="208"/>
      <c r="BV4" s="208"/>
      <c r="BW4" s="208"/>
      <c r="BX4" s="208"/>
      <c r="BY4" s="208"/>
      <c r="BZ4" s="208"/>
      <c r="CA4" s="208"/>
      <c r="CB4" s="204"/>
    </row>
    <row r="5" spans="1:80" ht="39.75" customHeight="1">
      <c r="A5" s="213"/>
      <c r="B5" s="214" t="s">
        <v>38</v>
      </c>
      <c r="C5" s="215"/>
      <c r="D5" s="216">
        <f>IF(Dateneingabe!E12="","",Dateneingabe!E12)</f>
        <v>1</v>
      </c>
      <c r="E5" s="217" t="s">
        <v>39</v>
      </c>
      <c r="F5" s="392" t="s">
        <v>40</v>
      </c>
      <c r="G5" s="393"/>
      <c r="H5" s="218" t="s">
        <v>123</v>
      </c>
      <c r="I5" s="392" t="s">
        <v>40</v>
      </c>
      <c r="J5" s="393"/>
      <c r="K5" s="218" t="s">
        <v>123</v>
      </c>
      <c r="L5" s="392" t="s">
        <v>40</v>
      </c>
      <c r="M5" s="393"/>
      <c r="N5" s="218" t="s">
        <v>123</v>
      </c>
      <c r="O5" s="213"/>
      <c r="P5" s="207"/>
      <c r="Q5" s="219" t="s">
        <v>71</v>
      </c>
      <c r="R5" s="220"/>
      <c r="S5" s="220"/>
      <c r="T5" s="220"/>
      <c r="U5" s="220"/>
      <c r="V5" s="220"/>
      <c r="W5" s="220"/>
      <c r="X5" s="221"/>
      <c r="Y5" s="204"/>
      <c r="Z5" s="204"/>
      <c r="AA5" s="222"/>
      <c r="AB5" s="203"/>
      <c r="AC5" s="213"/>
      <c r="AD5" s="214" t="s">
        <v>38</v>
      </c>
      <c r="AE5" s="215"/>
      <c r="AF5" s="216">
        <f>IF(Dateneingabe!E12="","",Dateneingabe!E12)</f>
        <v>1</v>
      </c>
      <c r="AG5" s="217" t="s">
        <v>39</v>
      </c>
      <c r="AH5" s="392" t="s">
        <v>40</v>
      </c>
      <c r="AI5" s="393"/>
      <c r="AJ5" s="218" t="s">
        <v>123</v>
      </c>
      <c r="AK5" s="392" t="s">
        <v>40</v>
      </c>
      <c r="AL5" s="393"/>
      <c r="AM5" s="218" t="s">
        <v>123</v>
      </c>
      <c r="AN5" s="392" t="s">
        <v>40</v>
      </c>
      <c r="AO5" s="393"/>
      <c r="AP5" s="218" t="s">
        <v>123</v>
      </c>
      <c r="AQ5" s="213"/>
      <c r="AR5" s="207"/>
      <c r="AS5" s="219" t="s">
        <v>71</v>
      </c>
      <c r="AT5" s="220"/>
      <c r="AU5" s="220"/>
      <c r="AV5" s="220"/>
      <c r="AW5" s="220"/>
      <c r="AX5" s="220"/>
      <c r="AY5" s="220"/>
      <c r="AZ5" s="221"/>
      <c r="BA5" s="204"/>
      <c r="BB5" s="204"/>
      <c r="BC5" s="213"/>
      <c r="BD5" s="214" t="s">
        <v>38</v>
      </c>
      <c r="BE5" s="215"/>
      <c r="BF5" s="216">
        <f>IF(Dateneingabe!E12="","",Dateneingabe!E12)</f>
        <v>1</v>
      </c>
      <c r="BG5" s="217" t="s">
        <v>39</v>
      </c>
      <c r="BH5" s="392" t="s">
        <v>40</v>
      </c>
      <c r="BI5" s="393"/>
      <c r="BJ5" s="218" t="s">
        <v>123</v>
      </c>
      <c r="BK5" s="392" t="s">
        <v>40</v>
      </c>
      <c r="BL5" s="393"/>
      <c r="BM5" s="218" t="s">
        <v>123</v>
      </c>
      <c r="BN5" s="392" t="s">
        <v>40</v>
      </c>
      <c r="BO5" s="393"/>
      <c r="BP5" s="218" t="s">
        <v>123</v>
      </c>
      <c r="BQ5" s="213"/>
      <c r="BR5" s="207"/>
      <c r="BS5" s="208"/>
      <c r="BT5" s="208"/>
      <c r="BU5" s="208"/>
      <c r="BV5" s="208"/>
      <c r="BW5" s="208"/>
      <c r="BX5" s="208"/>
      <c r="BY5" s="208"/>
      <c r="BZ5" s="208"/>
      <c r="CA5" s="204"/>
      <c r="CB5" s="204"/>
    </row>
    <row r="6" spans="1:80" ht="22.5" customHeight="1" thickBot="1">
      <c r="A6" s="213"/>
      <c r="B6" s="223" t="s">
        <v>9</v>
      </c>
      <c r="C6" s="224"/>
      <c r="D6" s="225" t="str">
        <f>IF(Dateneingabe!C14="","",Dateneingabe!C14)</f>
        <v>Salade russe</v>
      </c>
      <c r="E6" s="224"/>
      <c r="F6" s="224"/>
      <c r="G6" s="224"/>
      <c r="H6" s="224"/>
      <c r="I6" s="226"/>
      <c r="J6" s="227"/>
      <c r="K6" s="227"/>
      <c r="L6" s="226"/>
      <c r="M6" s="224"/>
      <c r="N6" s="228"/>
      <c r="O6" s="213"/>
      <c r="P6" s="207"/>
      <c r="Q6" s="229" t="s">
        <v>72</v>
      </c>
      <c r="R6" s="370" t="s">
        <v>73</v>
      </c>
      <c r="S6" s="370"/>
      <c r="T6" s="370"/>
      <c r="U6" s="370"/>
      <c r="V6" s="370"/>
      <c r="W6" s="370"/>
      <c r="X6" s="371"/>
      <c r="Y6" s="204"/>
      <c r="Z6" s="204"/>
      <c r="AA6" s="230"/>
      <c r="AB6" s="203"/>
      <c r="AC6" s="213"/>
      <c r="AD6" s="223" t="s">
        <v>9</v>
      </c>
      <c r="AE6" s="224"/>
      <c r="AF6" s="225" t="str">
        <f>IF(Dateneingabe!C14="","",Dateneingabe!C14)</f>
        <v>Salade russe</v>
      </c>
      <c r="AG6" s="224"/>
      <c r="AH6" s="224"/>
      <c r="AI6" s="224"/>
      <c r="AJ6" s="224"/>
      <c r="AK6" s="226"/>
      <c r="AL6" s="227"/>
      <c r="AM6" s="227"/>
      <c r="AN6" s="226"/>
      <c r="AO6" s="224"/>
      <c r="AP6" s="228"/>
      <c r="AQ6" s="213"/>
      <c r="AR6" s="207"/>
      <c r="AS6" s="229" t="s">
        <v>72</v>
      </c>
      <c r="AT6" s="370" t="s">
        <v>73</v>
      </c>
      <c r="AU6" s="370"/>
      <c r="AV6" s="370"/>
      <c r="AW6" s="370"/>
      <c r="AX6" s="370"/>
      <c r="AY6" s="370"/>
      <c r="AZ6" s="371"/>
      <c r="BA6" s="204"/>
      <c r="BB6" s="204"/>
      <c r="BC6" s="213"/>
      <c r="BD6" s="231" t="s">
        <v>25</v>
      </c>
      <c r="BE6" s="232"/>
      <c r="BF6" s="233">
        <f>IF(Dateneingabe!C40="","",Dateneingabe!C40)</f>
      </c>
      <c r="BG6" s="234"/>
      <c r="BH6" s="234"/>
      <c r="BI6" s="234"/>
      <c r="BJ6" s="234"/>
      <c r="BK6" s="234"/>
      <c r="BL6" s="234"/>
      <c r="BM6" s="235"/>
      <c r="BN6" s="234"/>
      <c r="BO6" s="234"/>
      <c r="BP6" s="236"/>
      <c r="BQ6" s="213"/>
      <c r="BR6" s="207"/>
      <c r="BS6" s="219" t="s">
        <v>74</v>
      </c>
      <c r="BT6" s="220"/>
      <c r="BU6" s="220"/>
      <c r="BV6" s="220"/>
      <c r="BW6" s="220"/>
      <c r="BX6" s="220"/>
      <c r="BY6" s="220"/>
      <c r="BZ6" s="221"/>
      <c r="CA6" s="204"/>
      <c r="CB6" s="204"/>
    </row>
    <row r="7" spans="1:80" ht="16.5" customHeight="1" thickBot="1">
      <c r="A7" s="213"/>
      <c r="B7" s="237">
        <f>IF(Dateneingabe!B16="","",Dateneingabe!B16)</f>
        <v>40</v>
      </c>
      <c r="C7" s="238" t="str">
        <f>IF(Dateneingabe!C16="","",Dateneingabe!C16)</f>
        <v>g</v>
      </c>
      <c r="D7" s="239" t="str">
        <f>IF(Dateneingabe!E16="","",Dateneingabe!E16)</f>
        <v>Karotten</v>
      </c>
      <c r="E7" s="240">
        <f>IF(Dateneingabe!G16="","",Dateneingabe!G16)</f>
      </c>
      <c r="F7" s="241">
        <f>IF($F$4="","",IF(Dateneingabe!J16="","",ROUND(Dateneingabe!J16,2)))</f>
        <v>0.9</v>
      </c>
      <c r="G7" s="242" t="str">
        <f>IF($F$4="","",IF(Dateneingabe!J16="","",Dateneingabe!K16&amp;" "&amp;Dateneingabe!L16))</f>
        <v>/ kg</v>
      </c>
      <c r="H7" s="243">
        <f aca="true" t="shared" si="0" ref="H7:H18">IF(OR(F$4="",F7="",$B7=""),"",IF($E7&lt;&gt;"",$B7*$E7/1000*F7,$B7/IF($C7="",1,VLOOKUP($C7,Faktor,3,0))*F7))</f>
        <v>0.036000000000000004</v>
      </c>
      <c r="I7" s="241">
        <f>IF($I$4="","",IF(F7="","",ROUND(F7*(1+$AF$46*Dateneingabe!$G$5),2)))</f>
        <v>0.96</v>
      </c>
      <c r="J7" s="244" t="str">
        <f>IF($I$4="","",IF(Dateneingabe!J16="","",Dateneingabe!K16&amp;" "&amp;Dateneingabe!L16))</f>
        <v>/ kg</v>
      </c>
      <c r="K7" s="412">
        <f>IF(OR(I$4="",I7="",$B7=""),"",IF($E7&lt;&gt;"",$B7*$E7/1000*I7,$B7/IF($C7="",1,VLOOKUP($C7,Faktor,3,0))*I7))</f>
        <v>0.0384</v>
      </c>
      <c r="L7" s="241">
        <f>IF($L$4="","",IF(F7="","",ROUND(F7*(1+$AF$47*Dateneingabe!$G$5),2)))</f>
      </c>
      <c r="M7" s="242">
        <f>IF($L$4="","",IF(Dateneingabe!J16="","",Dateneingabe!K16&amp;" "&amp;Dateneingabe!L16))</f>
      </c>
      <c r="N7" s="246">
        <f aca="true" t="shared" si="1" ref="N7:N18">IF(OR(L$4="",L7="",$B7=""),"",IF($E7&lt;&gt;"",$B7*$E7/1000*L7,$B7/IF($C7="",1,VLOOKUP($C7,Faktor,3,0))*L7))</f>
      </c>
      <c r="O7" s="213"/>
      <c r="P7" s="207"/>
      <c r="Q7" s="247" t="s">
        <v>75</v>
      </c>
      <c r="R7" s="248" t="str">
        <f>IF(D7="","",D7)</f>
        <v>Karotten</v>
      </c>
      <c r="S7" s="248"/>
      <c r="T7" s="249" t="str">
        <f>IF($D7="","",$D7&amp;"   =   "&amp;B7&amp;" "&amp;Dateneingabe!C16&amp;"   x   "&amp;IF($E7&lt;&gt;"",$E7&amp;" g/St   x   ","")&amp;I7&amp;" €"&amp;Dateneingabe!K16&amp;Dateneingabe!L16&amp;IF($C7="","",IF(VLOOKUP($C7,Faktor,3,0)=0,"","   :   "&amp;VLOOKUP($C7,Faktor,3,0)))&amp;"   =   "&amp;FIXED(B7*IF($E7&lt;&gt;"",$E7/1,1)*I7/IF($C7="",1,IF(VLOOKUP($C7,Faktor,3,0)=0,1,VLOOKUP($C7,Faktor,3,0))),3)&amp;" €")</f>
        <v>Karotten   =   40 g   x   0,96 €/kg   :   1000   =   0,038 €</v>
      </c>
      <c r="U7" s="249"/>
      <c r="V7" s="249"/>
      <c r="W7" s="249"/>
      <c r="X7" s="250"/>
      <c r="Y7" s="204"/>
      <c r="Z7" s="204"/>
      <c r="AA7" s="222"/>
      <c r="AB7" s="203"/>
      <c r="AC7" s="213"/>
      <c r="AD7" s="237">
        <f>IF(Dateneingabe!B16="","",Dateneingabe!B16)</f>
        <v>40</v>
      </c>
      <c r="AE7" s="238" t="str">
        <f>IF(Dateneingabe!C16="","",Dateneingabe!C16)</f>
        <v>g</v>
      </c>
      <c r="AF7" s="239" t="str">
        <f>IF(Dateneingabe!E16="","",Dateneingabe!E16)</f>
        <v>Karotten</v>
      </c>
      <c r="AG7" s="240">
        <f>IF(Dateneingabe!G16="","",Dateneingabe!G16)</f>
      </c>
      <c r="AH7" s="241">
        <f>IF($AH$4="","",IF(Dateneingabe!J16="","",ROUND(Dateneingabe!J16,2)))</f>
        <v>0.9</v>
      </c>
      <c r="AI7" s="242" t="str">
        <f>IF($AH$4="","",IF(Dateneingabe!J16="","",Dateneingabe!K16&amp;" "&amp;Dateneingabe!L16))</f>
        <v>/ kg</v>
      </c>
      <c r="AJ7" s="243">
        <f aca="true" t="shared" si="2" ref="AJ7:AJ18">IF(OR(AH$4="",AH7="",$AD7=""),"",IF($AG7&lt;&gt;"",$AD7*$AG7/1000*AH7,$AD7/IF($AE7="",1,VLOOKUP($AE7,Faktor,3,0))*AH7))</f>
        <v>0.036000000000000004</v>
      </c>
      <c r="AK7" s="241">
        <f>IF($AK$4="","",IF(AH7="","",ROUND(AH7*(1+$AF$46*Dateneingabe!$G$5),2)))</f>
        <v>0.96</v>
      </c>
      <c r="AL7" s="244" t="str">
        <f>IF($AK$4="","",IF(Dateneingabe!J16="","",Dateneingabe!K16&amp;" "&amp;Dateneingabe!L16))</f>
        <v>/ kg</v>
      </c>
      <c r="AM7" s="412">
        <f aca="true" t="shared" si="3" ref="AM7:AM18">IF(OR(AK$4="",AK7="",$AD7=""),"",IF($AG7&lt;&gt;"",$AD7*$AG7/1000*AK7,$AD7/IF($AE7="",1,VLOOKUP($AE7,Faktor,3,0))*AK7))</f>
        <v>0.0384</v>
      </c>
      <c r="AN7" s="241">
        <f>IF($AN$4="","",IF(AH7="","",ROUND(AH7*(1+$AF$47*Dateneingabe!$G$5),2)))</f>
      </c>
      <c r="AO7" s="242">
        <f>IF($AN$4="","",IF(Dateneingabe!J16="","",Dateneingabe!K16&amp;" "&amp;Dateneingabe!L16))</f>
      </c>
      <c r="AP7" s="246">
        <f aca="true" t="shared" si="4" ref="AP7:AP18">IF(OR(AN$4="",AN7="",$AD7=""),"",IF($AG7&lt;&gt;"",$AD7*$AG7/1000*AN7,$AD7/IF($AE7="",1,VLOOKUP($AE7,Faktor,3,0))*AN7))</f>
      </c>
      <c r="AQ7" s="213"/>
      <c r="AR7" s="207"/>
      <c r="AS7" s="247" t="s">
        <v>75</v>
      </c>
      <c r="AT7" s="248" t="str">
        <f aca="true" t="shared" si="5" ref="AT7:AT18">IF(D7="","",D7)</f>
        <v>Karotten</v>
      </c>
      <c r="AU7" s="248"/>
      <c r="AV7" s="249" t="str">
        <f>IF($D7="","",$D7&amp;"   =   "&amp;B7&amp;" "&amp;Dateneingabe!C16&amp;"   x   "&amp;IF($E7&lt;&gt;"",$E7&amp;" g/St   x   ","")&amp;I7&amp;" €"&amp;Dateneingabe!K16&amp;Dateneingabe!L16&amp;IF($C7="","",IF(VLOOKUP($C7,Faktor,3,0)=0,"","   :   "&amp;VLOOKUP($C7,Faktor,3,0)))&amp;"   =   "&amp;FIXED(B7*IF($E7&lt;&gt;"",$E7/1,1)*I7/IF($C7="",1,IF(VLOOKUP($C7,Faktor,3,0)=0,1,VLOOKUP($C7,Faktor,3,0))),3)&amp;" €")</f>
        <v>Karotten   =   40 g   x   0,96 €/kg   :   1000   =   0,038 €</v>
      </c>
      <c r="AW7" s="249"/>
      <c r="AX7" s="249"/>
      <c r="AY7" s="249"/>
      <c r="AZ7" s="250"/>
      <c r="BA7" s="204"/>
      <c r="BB7" s="204"/>
      <c r="BC7" s="213"/>
      <c r="BD7" s="237">
        <f>IF(Dateneingabe!B42="","",Dateneingabe!B42)</f>
      </c>
      <c r="BE7" s="238">
        <f>IF(Dateneingabe!C42="","",Dateneingabe!C42)</f>
      </c>
      <c r="BF7" s="239">
        <f>IF(Dateneingabe!E42="","",Dateneingabe!E42)</f>
      </c>
      <c r="BG7" s="251">
        <f>IF(Dateneingabe!G42="","",Dateneingabe!G42)</f>
      </c>
      <c r="BH7" s="252">
        <f>IF($AH$4="","",IF(Dateneingabe!J42="","",ROUND(Dateneingabe!J42,2)))</f>
      </c>
      <c r="BI7" s="253">
        <f>IF($AH$4="","",IF(Dateneingabe!J42="","",Dateneingabe!K42&amp;" "&amp;Dateneingabe!L42))</f>
      </c>
      <c r="BJ7" s="254">
        <f aca="true" t="shared" si="6" ref="BJ7:BJ17">IF(OR(AH$4="",BH7="",$BD7=""),"",IF($BG7&lt;&gt;"",$BD7*$BG7/1000*BH7,$BD7/IF($BE7="",1,VLOOKUP($BE7,Faktor,3,0))*BH7))</f>
      </c>
      <c r="BK7" s="252">
        <f>IF($AK$4="","",IF(BH7="","",ROUND(BH7*(1+$AF$46*Dateneingabe!$G$5),2)))</f>
      </c>
      <c r="BL7" s="244">
        <f>IF($AK$4="","",IF(Dateneingabe!J42="","",Dateneingabe!K42&amp;" "&amp;Dateneingabe!L42))</f>
      </c>
      <c r="BM7" s="245">
        <f aca="true" t="shared" si="7" ref="BM7:BM17">IF(OR(AK$4="",BK7="",$BD7=""),"",IF($BG7&lt;&gt;"",$BD7*$BG7/1000*BK7,$BD7/IF($BE7="",1,VLOOKUP($BE7,Faktor,3,0))*BK7))</f>
      </c>
      <c r="BN7" s="252">
        <f>IF($AN$4="","",IF(BH7="","",ROUND(BH7*(1+$AF$47*Dateneingabe!$G$5),2)))</f>
      </c>
      <c r="BO7" s="253">
        <f>IF($AN$4="","",IF(Dateneingabe!J42="","",Dateneingabe!K42&amp;" "&amp;Dateneingabe!L42))</f>
      </c>
      <c r="BP7" s="255">
        <f aca="true" t="shared" si="8" ref="BP7:BP17">IF(OR(AN$4="",BN7="",$BD7=""),"",IF($BG7&lt;&gt;"",$BD7*$BG7/1000*BN7,$BD7/IF($BE7="",1,VLOOKUP($BE7,Faktor,3,0))*BN7))</f>
      </c>
      <c r="BQ7" s="213"/>
      <c r="BR7" s="207"/>
      <c r="BS7" s="368" t="s">
        <v>72</v>
      </c>
      <c r="BT7" s="370" t="s">
        <v>73</v>
      </c>
      <c r="BU7" s="370"/>
      <c r="BV7" s="370"/>
      <c r="BW7" s="370"/>
      <c r="BX7" s="370"/>
      <c r="BY7" s="370"/>
      <c r="BZ7" s="371"/>
      <c r="CA7" s="204"/>
      <c r="CB7" s="204"/>
    </row>
    <row r="8" spans="1:80" ht="16.5" customHeight="1" thickBot="1">
      <c r="A8" s="213"/>
      <c r="B8" s="237">
        <f>IF(Dateneingabe!B18="","",Dateneingabe!B18)</f>
        <v>40</v>
      </c>
      <c r="C8" s="256" t="str">
        <f>IF(Dateneingabe!C18="","",Dateneingabe!C18)</f>
        <v>g</v>
      </c>
      <c r="D8" s="257" t="str">
        <f>IF(Dateneingabe!E18="","",Dateneingabe!E18)</f>
        <v>Sellerie</v>
      </c>
      <c r="E8" s="240">
        <f>IF(Dateneingabe!G18="","",Dateneingabe!G18)</f>
      </c>
      <c r="F8" s="241">
        <f>IF($F$4="","",IF(Dateneingabe!J18="","",ROUND(Dateneingabe!J18,2)))</f>
        <v>1.6</v>
      </c>
      <c r="G8" s="258" t="str">
        <f>IF($F$4="","",IF(Dateneingabe!J18="","",Dateneingabe!K18&amp;" "&amp;Dateneingabe!L18))</f>
        <v>/ kg</v>
      </c>
      <c r="H8" s="254">
        <f t="shared" si="0"/>
        <v>0.064</v>
      </c>
      <c r="I8" s="241">
        <f>IF($I$4="","",IF(F8="","",ROUND(F8*(1+$AF$46*Dateneingabe!$G$5),2)))</f>
        <v>1.71</v>
      </c>
      <c r="J8" s="259" t="str">
        <f>IF($I$4="","",IF(Dateneingabe!J18="","",Dateneingabe!K18&amp;" "&amp;Dateneingabe!L18))</f>
        <v>/ kg</v>
      </c>
      <c r="K8" s="245">
        <f aca="true" t="shared" si="9" ref="K8:K18">IF(OR(I$4="",I8="",$B8=""),"",IF($E8&lt;&gt;"",$B8*$E8/1000*I8,$B8/IF($C8="",1,VLOOKUP($C8,Faktor,3,0))*I8))</f>
        <v>0.0684</v>
      </c>
      <c r="L8" s="241">
        <f>IF($L$4="","",IF(F8="","",ROUND(F8*(1+$AF$47*Dateneingabe!$G$5),2)))</f>
      </c>
      <c r="M8" s="258">
        <f>IF($L$4="","",IF(Dateneingabe!J18="","",Dateneingabe!K18&amp;" "&amp;Dateneingabe!L18))</f>
      </c>
      <c r="N8" s="255">
        <f t="shared" si="1"/>
      </c>
      <c r="O8" s="213"/>
      <c r="P8" s="207"/>
      <c r="Q8" s="260"/>
      <c r="R8" s="248" t="str">
        <f aca="true" t="shared" si="10" ref="R8:R18">IF(D8="","",D8)</f>
        <v>Sellerie</v>
      </c>
      <c r="S8" s="248"/>
      <c r="T8" s="249" t="str">
        <f>IF($D8="","",$D8&amp;"   =   "&amp;B8&amp;" "&amp;Dateneingabe!C18&amp;"   x   "&amp;IF($E8&lt;&gt;"",$E8&amp;" g/St   x   ","")&amp;I8&amp;" €"&amp;Dateneingabe!K18&amp;Dateneingabe!L18&amp;IF($C8="","",IF(VLOOKUP($C8,Faktor,3,0)=0,"","   :   "&amp;VLOOKUP($C8,Faktor,3,0)))&amp;"   =   "&amp;FIXED(B8*IF($E8&lt;&gt;"",$E8/1,1)*I8/IF($C8="",1,IF(VLOOKUP($C8,Faktor,3,0)=0,1,VLOOKUP($C8,Faktor,3,0))),3)&amp;" €")</f>
        <v>Sellerie   =   40 g   x   1,71 €/kg   :   1000   =   0,068 €</v>
      </c>
      <c r="U8" s="249"/>
      <c r="V8" s="249"/>
      <c r="W8" s="249"/>
      <c r="X8" s="250"/>
      <c r="Y8" s="204"/>
      <c r="Z8" s="204"/>
      <c r="AA8" s="230"/>
      <c r="AB8" s="203"/>
      <c r="AC8" s="213"/>
      <c r="AD8" s="237">
        <f>IF(Dateneingabe!B18="","",Dateneingabe!B18)</f>
        <v>40</v>
      </c>
      <c r="AE8" s="256" t="str">
        <f>IF(Dateneingabe!C18="","",Dateneingabe!C18)</f>
        <v>g</v>
      </c>
      <c r="AF8" s="257" t="str">
        <f>IF(Dateneingabe!E18="","",Dateneingabe!E18)</f>
        <v>Sellerie</v>
      </c>
      <c r="AG8" s="240">
        <f>IF(Dateneingabe!G18="","",Dateneingabe!G18)</f>
      </c>
      <c r="AH8" s="241">
        <f>IF($AH$4="","",IF(Dateneingabe!J18="","",ROUND(Dateneingabe!J18,2)))</f>
        <v>1.6</v>
      </c>
      <c r="AI8" s="258" t="str">
        <f>IF($AH$4="","",IF(Dateneingabe!J18="","",Dateneingabe!K18&amp;" "&amp;Dateneingabe!L18))</f>
        <v>/ kg</v>
      </c>
      <c r="AJ8" s="254">
        <f t="shared" si="2"/>
        <v>0.064</v>
      </c>
      <c r="AK8" s="241">
        <f>IF($AK$4="","",IF(AH8="","",ROUND(AH8*(1+$AF$46*Dateneingabe!$G$5),2)))</f>
        <v>1.71</v>
      </c>
      <c r="AL8" s="259" t="str">
        <f>IF($AK$4="","",IF(Dateneingabe!J18="","",Dateneingabe!K18&amp;" "&amp;Dateneingabe!L18))</f>
        <v>/ kg</v>
      </c>
      <c r="AM8" s="245">
        <f t="shared" si="3"/>
        <v>0.0684</v>
      </c>
      <c r="AN8" s="241">
        <f>IF($AN$4="","",IF(AH8="","",ROUND(AH8*(1+$AF$47*Dateneingabe!$G$5),2)))</f>
      </c>
      <c r="AO8" s="258">
        <f>IF($AN$4="","",IF(Dateneingabe!J18="","",Dateneingabe!K18&amp;" "&amp;Dateneingabe!L18))</f>
      </c>
      <c r="AP8" s="255">
        <f t="shared" si="4"/>
      </c>
      <c r="AQ8" s="213"/>
      <c r="AR8" s="207"/>
      <c r="AS8" s="260"/>
      <c r="AT8" s="248" t="str">
        <f t="shared" si="5"/>
        <v>Sellerie</v>
      </c>
      <c r="AU8" s="248"/>
      <c r="AV8" s="249" t="str">
        <f>IF($D8="","",$D8&amp;"   =   "&amp;B8&amp;" "&amp;Dateneingabe!C18&amp;"   x   "&amp;IF($E8&lt;&gt;"",$E8&amp;" g/St   x   ","")&amp;I8&amp;" €"&amp;Dateneingabe!K18&amp;Dateneingabe!L18&amp;IF($C8="","",IF(VLOOKUP($C8,Faktor,3,0)=0,"","   :   "&amp;VLOOKUP($C8,Faktor,3,0)))&amp;"   =   "&amp;FIXED(B8*IF($E8&lt;&gt;"",$E8/1,1)*I8/IF($C8="",1,IF(VLOOKUP($C8,Faktor,3,0)=0,1,VLOOKUP($C8,Faktor,3,0))),3)&amp;" €")</f>
        <v>Sellerie   =   40 g   x   1,71 €/kg   :   1000   =   0,068 €</v>
      </c>
      <c r="AW8" s="249"/>
      <c r="AX8" s="249"/>
      <c r="AY8" s="249"/>
      <c r="AZ8" s="250"/>
      <c r="BA8" s="204"/>
      <c r="BB8" s="204"/>
      <c r="BC8" s="213"/>
      <c r="BD8" s="237">
        <f>IF(Dateneingabe!B44="","",Dateneingabe!B44)</f>
      </c>
      <c r="BE8" s="256">
        <f>IF(Dateneingabe!C44="","",Dateneingabe!C44)</f>
      </c>
      <c r="BF8" s="257">
        <f>IF(Dateneingabe!E44="","",Dateneingabe!E44)</f>
      </c>
      <c r="BG8" s="240">
        <f>IF(Dateneingabe!G44="","",Dateneingabe!G44)</f>
      </c>
      <c r="BH8" s="241">
        <f>IF($AH$4="","",IF(Dateneingabe!J44="","",ROUND(Dateneingabe!J44,2)))</f>
      </c>
      <c r="BI8" s="258">
        <f>IF($AH$4="","",IF(Dateneingabe!J44="","",Dateneingabe!K44&amp;" "&amp;Dateneingabe!L44))</f>
      </c>
      <c r="BJ8" s="243">
        <f t="shared" si="6"/>
      </c>
      <c r="BK8" s="241">
        <f>IF($AK$4="","",IF(BH8="","",ROUND(BH8*(1+$AF$46*Dateneingabe!$G$5),2)))</f>
      </c>
      <c r="BL8" s="259">
        <f>IF($AK$4="","",IF(Dateneingabe!J44="","",Dateneingabe!K44&amp;" "&amp;Dateneingabe!L44))</f>
      </c>
      <c r="BM8" s="245">
        <f t="shared" si="7"/>
      </c>
      <c r="BN8" s="241">
        <f>IF($AN$4="","",IF(BH8="","",ROUND(BH8*(1+$AF$47*Dateneingabe!$G$5),2)))</f>
      </c>
      <c r="BO8" s="258">
        <f>IF($AN$4="","",IF(Dateneingabe!J44="","",Dateneingabe!K44&amp;" "&amp;Dateneingabe!L44))</f>
      </c>
      <c r="BP8" s="246">
        <f t="shared" si="8"/>
      </c>
      <c r="BQ8" s="213"/>
      <c r="BR8" s="207"/>
      <c r="BS8" s="368"/>
      <c r="BT8" s="370"/>
      <c r="BU8" s="370"/>
      <c r="BV8" s="370"/>
      <c r="BW8" s="370"/>
      <c r="BX8" s="370"/>
      <c r="BY8" s="370"/>
      <c r="BZ8" s="371"/>
      <c r="CA8" s="204"/>
      <c r="CB8" s="204"/>
    </row>
    <row r="9" spans="1:80" ht="16.5" customHeight="1" thickBot="1">
      <c r="A9" s="213"/>
      <c r="B9" s="237">
        <f>IF(Dateneingabe!B20="","",Dateneingabe!B20)</f>
        <v>40</v>
      </c>
      <c r="C9" s="256" t="str">
        <f>IF(Dateneingabe!C20="","",Dateneingabe!C20)</f>
        <v>g</v>
      </c>
      <c r="D9" s="257" t="str">
        <f>IF(Dateneingabe!E20="","",Dateneingabe!E20)</f>
        <v>grüne Bohnen</v>
      </c>
      <c r="E9" s="240">
        <f>IF(Dateneingabe!G20="","",Dateneingabe!G20)</f>
      </c>
      <c r="F9" s="241">
        <f>IF($F$4="","",IF(Dateneingabe!J20="","",ROUND(Dateneingabe!J20,2)))</f>
        <v>0.92</v>
      </c>
      <c r="G9" s="258" t="str">
        <f>IF($F$4="","",IF(Dateneingabe!J20="","",Dateneingabe!K20&amp;" "&amp;Dateneingabe!L20))</f>
        <v>/ kg</v>
      </c>
      <c r="H9" s="254">
        <f t="shared" si="0"/>
        <v>0.0368</v>
      </c>
      <c r="I9" s="241">
        <f>IF($I$4="","",IF(F9="","",ROUND(F9*(1+$AF$46*Dateneingabe!$G$5),2)))</f>
        <v>0.98</v>
      </c>
      <c r="J9" s="259" t="str">
        <f>IF($I$4="","",IF(Dateneingabe!J20="","",Dateneingabe!K20&amp;" "&amp;Dateneingabe!L20))</f>
        <v>/ kg</v>
      </c>
      <c r="K9" s="245">
        <f t="shared" si="9"/>
        <v>0.0392</v>
      </c>
      <c r="L9" s="241">
        <f>IF($L$4="","",IF(F9="","",ROUND(F9*(1+$AF$47*Dateneingabe!$G$5),2)))</f>
      </c>
      <c r="M9" s="258">
        <f>IF($L$4="","",IF(Dateneingabe!J20="","",Dateneingabe!K20&amp;" "&amp;Dateneingabe!L20))</f>
      </c>
      <c r="N9" s="255">
        <f t="shared" si="1"/>
      </c>
      <c r="O9" s="213"/>
      <c r="P9" s="207"/>
      <c r="Q9" s="260"/>
      <c r="R9" s="248" t="str">
        <f t="shared" si="10"/>
        <v>grüne Bohnen</v>
      </c>
      <c r="S9" s="248"/>
      <c r="T9" s="249" t="str">
        <f>IF($D9="","",$D9&amp;"   =   "&amp;B9&amp;" "&amp;Dateneingabe!C20&amp;"   x   "&amp;IF($E9&lt;&gt;"",$E9&amp;" g/St   x   ","")&amp;I9&amp;" €"&amp;Dateneingabe!K20&amp;Dateneingabe!L20&amp;IF($C9="","",IF(VLOOKUP($C9,Faktor,3,0)=0,"","   :   "&amp;VLOOKUP($C9,Faktor,3,0)))&amp;"   =   "&amp;FIXED(B9*IF($E9&lt;&gt;"",$E9/1,1)*I9/IF($C9="",1,IF(VLOOKUP($C9,Faktor,3,0)=0,1,VLOOKUP($C9,Faktor,3,0))),3)&amp;" €")</f>
        <v>grüne Bohnen   =   40 g   x   0,98 €/kg   :   1000   =   0,039 €</v>
      </c>
      <c r="U9" s="249"/>
      <c r="V9" s="249"/>
      <c r="W9" s="249"/>
      <c r="X9" s="250"/>
      <c r="Y9" s="204"/>
      <c r="Z9" s="204"/>
      <c r="AA9" s="222"/>
      <c r="AB9" s="203"/>
      <c r="AC9" s="213"/>
      <c r="AD9" s="237">
        <f>IF(Dateneingabe!B20="","",Dateneingabe!B20)</f>
        <v>40</v>
      </c>
      <c r="AE9" s="256" t="str">
        <f>IF(Dateneingabe!C20="","",Dateneingabe!C20)</f>
        <v>g</v>
      </c>
      <c r="AF9" s="257" t="str">
        <f>IF(Dateneingabe!E20="","",Dateneingabe!E20)</f>
        <v>grüne Bohnen</v>
      </c>
      <c r="AG9" s="240">
        <f>IF(Dateneingabe!G20="","",Dateneingabe!G20)</f>
      </c>
      <c r="AH9" s="241">
        <f>IF($AH$4="","",IF(Dateneingabe!J20="","",ROUND(Dateneingabe!J20,2)))</f>
        <v>0.92</v>
      </c>
      <c r="AI9" s="258" t="str">
        <f>IF($AH$4="","",IF(Dateneingabe!J20="","",Dateneingabe!K20&amp;" "&amp;Dateneingabe!L20))</f>
        <v>/ kg</v>
      </c>
      <c r="AJ9" s="254">
        <f t="shared" si="2"/>
        <v>0.0368</v>
      </c>
      <c r="AK9" s="241">
        <f>IF($AK$4="","",IF(AH9="","",ROUND(AH9*(1+$AF$46*Dateneingabe!$G$5),2)))</f>
        <v>0.98</v>
      </c>
      <c r="AL9" s="259" t="str">
        <f>IF($AK$4="","",IF(Dateneingabe!J20="","",Dateneingabe!K20&amp;" "&amp;Dateneingabe!L20))</f>
        <v>/ kg</v>
      </c>
      <c r="AM9" s="245">
        <f t="shared" si="3"/>
        <v>0.0392</v>
      </c>
      <c r="AN9" s="241">
        <f>IF($AN$4="","",IF(AH9="","",ROUND(AH9*(1+$AF$47*Dateneingabe!$G$5),2)))</f>
      </c>
      <c r="AO9" s="258">
        <f>IF($AN$4="","",IF(Dateneingabe!J20="","",Dateneingabe!K20&amp;" "&amp;Dateneingabe!L20))</f>
      </c>
      <c r="AP9" s="255">
        <f t="shared" si="4"/>
      </c>
      <c r="AQ9" s="213"/>
      <c r="AR9" s="207"/>
      <c r="AS9" s="260"/>
      <c r="AT9" s="248" t="str">
        <f t="shared" si="5"/>
        <v>grüne Bohnen</v>
      </c>
      <c r="AU9" s="248"/>
      <c r="AV9" s="249" t="str">
        <f>IF($D9="","",$D9&amp;"   =   "&amp;B9&amp;" "&amp;Dateneingabe!C20&amp;"   x   "&amp;IF($E9&lt;&gt;"",$E9&amp;" g/St   x   ","")&amp;I9&amp;" €"&amp;Dateneingabe!K20&amp;Dateneingabe!L20&amp;IF($C9="","",IF(VLOOKUP($C9,Faktor,3,0)=0,"","   :   "&amp;VLOOKUP($C9,Faktor,3,0)))&amp;"   =   "&amp;FIXED(B9*IF($E9&lt;&gt;"",$E9/1,1)*I9/IF($C9="",1,IF(VLOOKUP($C9,Faktor,3,0)=0,1,VLOOKUP($C9,Faktor,3,0))),3)&amp;" €")</f>
        <v>grüne Bohnen   =   40 g   x   0,98 €/kg   :   1000   =   0,039 €</v>
      </c>
      <c r="AW9" s="249"/>
      <c r="AX9" s="249"/>
      <c r="AY9" s="249"/>
      <c r="AZ9" s="250"/>
      <c r="BA9" s="204"/>
      <c r="BB9" s="204"/>
      <c r="BC9" s="213"/>
      <c r="BD9" s="237">
        <f>IF(Dateneingabe!B46="","",Dateneingabe!B46)</f>
      </c>
      <c r="BE9" s="256">
        <f>IF(Dateneingabe!C46="","",Dateneingabe!C46)</f>
      </c>
      <c r="BF9" s="257">
        <f>IF(Dateneingabe!E46="","",Dateneingabe!E46)</f>
      </c>
      <c r="BG9" s="240">
        <f>IF(Dateneingabe!G46="","",Dateneingabe!G46)</f>
      </c>
      <c r="BH9" s="241">
        <f>IF($AH$4="","",IF(Dateneingabe!J46="","",ROUND(Dateneingabe!J46,2)))</f>
      </c>
      <c r="BI9" s="242">
        <f>IF($AH$4="","",IF(Dateneingabe!J46="","",Dateneingabe!K46&amp;" "&amp;Dateneingabe!L46))</f>
      </c>
      <c r="BJ9" s="243">
        <f t="shared" si="6"/>
      </c>
      <c r="BK9" s="241">
        <f>IF($AK$4="","",IF(BH9="","",ROUND(BH9*(1+$AF$46*Dateneingabe!$G$5),2)))</f>
      </c>
      <c r="BL9" s="244">
        <f>IF($AK$4="","",IF(Dateneingabe!J46="","",Dateneingabe!K46&amp;" "&amp;Dateneingabe!L46))</f>
      </c>
      <c r="BM9" s="245">
        <f t="shared" si="7"/>
      </c>
      <c r="BN9" s="241">
        <f>IF($AN$4="","",IF(BH9="","",ROUND(BH9*(1+$AF$47*Dateneingabe!$G$5),2)))</f>
      </c>
      <c r="BO9" s="242">
        <f>IF($AN$4="","",IF(Dateneingabe!J46="","",Dateneingabe!K46&amp;" "&amp;Dateneingabe!L46))</f>
      </c>
      <c r="BP9" s="246">
        <f t="shared" si="8"/>
      </c>
      <c r="BQ9" s="213"/>
      <c r="BR9" s="207"/>
      <c r="BS9" s="247" t="s">
        <v>75</v>
      </c>
      <c r="BT9" s="248">
        <f aca="true" t="shared" si="11" ref="BT9:BT19">IF(D31="","",D31)</f>
      </c>
      <c r="BU9" s="248"/>
      <c r="BV9" s="249">
        <f>IF($D31="","",$D31&amp;"   =   "&amp;B31&amp;" "&amp;Dateneingabe!C42&amp;"   x   "&amp;IF($E31&lt;&gt;"",$E31&amp;" g/St   x   ","")&amp;I31&amp;" €"&amp;Dateneingabe!K42&amp;Dateneingabe!L42&amp;IF($C31="","",IF(VLOOKUP($C31,Faktor,3,0)=0,"","   :   "&amp;VLOOKUP($C31,Faktor,3,0)))&amp;"   =   "&amp;FIXED(B31*IF($E31&lt;&gt;"",$E31/1,1)*I31/IF($C31="",1,IF(VLOOKUP($C31,Faktor,3,0)=0,1,VLOOKUP($C31,Faktor,3,0))),3)&amp;" €")</f>
      </c>
      <c r="BW9" s="249"/>
      <c r="BX9" s="249"/>
      <c r="BY9" s="249"/>
      <c r="BZ9" s="250"/>
      <c r="CA9" s="204"/>
      <c r="CB9" s="204"/>
    </row>
    <row r="10" spans="1:80" ht="16.5" customHeight="1" thickBot="1">
      <c r="A10" s="213"/>
      <c r="B10" s="237">
        <f>IF(Dateneingabe!B22="","",Dateneingabe!B22)</f>
        <v>40</v>
      </c>
      <c r="C10" s="261" t="str">
        <f>IF(Dateneingabe!C22="","",Dateneingabe!C22)</f>
        <v>g</v>
      </c>
      <c r="D10" s="257" t="str">
        <f>IF(Dateneingabe!E22="","",Dateneingabe!E22)</f>
        <v>Kartoffel, gekocht</v>
      </c>
      <c r="E10" s="240">
        <f>IF(Dateneingabe!G22="","",Dateneingabe!G22)</f>
      </c>
      <c r="F10" s="241">
        <f>IF($F$4="","",IF(Dateneingabe!J22="","",ROUND(Dateneingabe!J22,2)))</f>
        <v>0.72</v>
      </c>
      <c r="G10" s="258" t="str">
        <f>IF($F$4="","",IF(Dateneingabe!J22="","",Dateneingabe!K22&amp;" "&amp;Dateneingabe!L22))</f>
        <v>/ kg</v>
      </c>
      <c r="H10" s="254">
        <f t="shared" si="0"/>
        <v>0.0288</v>
      </c>
      <c r="I10" s="241">
        <f>IF($I$4="","",IF(F10="","",ROUND(F10*(1+$AF$46*Dateneingabe!$G$5),2)))</f>
        <v>0.77</v>
      </c>
      <c r="J10" s="259" t="str">
        <f>IF($I$4="","",IF(Dateneingabe!J22="","",Dateneingabe!K22&amp;" "&amp;Dateneingabe!L22))</f>
        <v>/ kg</v>
      </c>
      <c r="K10" s="245">
        <f t="shared" si="9"/>
        <v>0.0308</v>
      </c>
      <c r="L10" s="241">
        <f>IF($L$4="","",IF(F10="","",ROUND(F10*(1+$AF$47*Dateneingabe!$G$5),2)))</f>
      </c>
      <c r="M10" s="258">
        <f>IF($L$4="","",IF(Dateneingabe!J22="","",Dateneingabe!K22&amp;" "&amp;Dateneingabe!L22))</f>
      </c>
      <c r="N10" s="255">
        <f t="shared" si="1"/>
      </c>
      <c r="O10" s="213"/>
      <c r="P10" s="207"/>
      <c r="Q10" s="260"/>
      <c r="R10" s="248" t="str">
        <f t="shared" si="10"/>
        <v>Kartoffel, gekocht</v>
      </c>
      <c r="S10" s="248"/>
      <c r="T10" s="249" t="str">
        <f>IF($D10="","",$D10&amp;"   =   "&amp;B10&amp;" "&amp;Dateneingabe!C22&amp;"   x   "&amp;IF($E10&lt;&gt;"",$E10&amp;" g/St   x   ","")&amp;I10&amp;" €"&amp;Dateneingabe!K22&amp;Dateneingabe!L22&amp;IF($C10="","",IF(VLOOKUP($C10,Faktor,3,0)=0,"","   :   "&amp;VLOOKUP($C10,Faktor,3,0)))&amp;"   =   "&amp;FIXED(B10*IF($E10&lt;&gt;"",$E10/1,1)*I10/IF($C10="",1,IF(VLOOKUP($C10,Faktor,3,0)=0,1,VLOOKUP($C10,Faktor,3,0))),3)&amp;" €")</f>
        <v>Kartoffel, gekocht   =   40 g   x   0,77 €/kg   :   1000   =   0,031 €</v>
      </c>
      <c r="U10" s="249"/>
      <c r="V10" s="249"/>
      <c r="W10" s="249"/>
      <c r="X10" s="250"/>
      <c r="Y10" s="204"/>
      <c r="Z10" s="204"/>
      <c r="AA10" s="230"/>
      <c r="AB10" s="203"/>
      <c r="AC10" s="213"/>
      <c r="AD10" s="237">
        <f>IF(Dateneingabe!B22="","",Dateneingabe!B22)</f>
        <v>40</v>
      </c>
      <c r="AE10" s="261" t="str">
        <f>IF(Dateneingabe!C22="","",Dateneingabe!C22)</f>
        <v>g</v>
      </c>
      <c r="AF10" s="257" t="str">
        <f>IF(Dateneingabe!E22="","",Dateneingabe!E22)</f>
        <v>Kartoffel, gekocht</v>
      </c>
      <c r="AG10" s="240">
        <f>IF(Dateneingabe!G22="","",Dateneingabe!G22)</f>
      </c>
      <c r="AH10" s="241">
        <f>IF($AH$4="","",IF(Dateneingabe!J22="","",ROUND(Dateneingabe!J22,2)))</f>
        <v>0.72</v>
      </c>
      <c r="AI10" s="258" t="str">
        <f>IF($AH$4="","",IF(Dateneingabe!J22="","",Dateneingabe!K22&amp;" "&amp;Dateneingabe!L22))</f>
        <v>/ kg</v>
      </c>
      <c r="AJ10" s="254">
        <f t="shared" si="2"/>
        <v>0.0288</v>
      </c>
      <c r="AK10" s="241">
        <f>IF($AK$4="","",IF(AH10="","",ROUND(AH10*(1+$AF$46*Dateneingabe!$G$5),2)))</f>
        <v>0.77</v>
      </c>
      <c r="AL10" s="259" t="str">
        <f>IF($AK$4="","",IF(Dateneingabe!J22="","",Dateneingabe!K22&amp;" "&amp;Dateneingabe!L22))</f>
        <v>/ kg</v>
      </c>
      <c r="AM10" s="245">
        <f t="shared" si="3"/>
        <v>0.0308</v>
      </c>
      <c r="AN10" s="241">
        <f>IF($AN$4="","",IF(AH10="","",ROUND(AH10*(1+$AF$47*Dateneingabe!$G$5),2)))</f>
      </c>
      <c r="AO10" s="258">
        <f>IF($AN$4="","",IF(Dateneingabe!J22="","",Dateneingabe!K22&amp;" "&amp;Dateneingabe!L22))</f>
      </c>
      <c r="AP10" s="255">
        <f t="shared" si="4"/>
      </c>
      <c r="AQ10" s="213"/>
      <c r="AR10" s="207"/>
      <c r="AS10" s="260"/>
      <c r="AT10" s="248" t="str">
        <f t="shared" si="5"/>
        <v>Kartoffel, gekocht</v>
      </c>
      <c r="AU10" s="248"/>
      <c r="AV10" s="249" t="str">
        <f>IF($D10="","",$D10&amp;"   =   "&amp;B10&amp;" "&amp;Dateneingabe!C22&amp;"   x   "&amp;IF($E10&lt;&gt;"",$E10&amp;" g/St   x   ","")&amp;I10&amp;" €"&amp;Dateneingabe!K22&amp;Dateneingabe!L22&amp;IF($C10="","",IF(VLOOKUP($C10,Faktor,3,0)=0,"","   :   "&amp;VLOOKUP($C10,Faktor,3,0)))&amp;"   =   "&amp;FIXED(B10*IF($E10&lt;&gt;"",$E10/1,1)*I10/IF($C10="",1,IF(VLOOKUP($C10,Faktor,3,0)=0,1,VLOOKUP($C10,Faktor,3,0))),3)&amp;" €")</f>
        <v>Kartoffel, gekocht   =   40 g   x   0,77 €/kg   :   1000   =   0,031 €</v>
      </c>
      <c r="AW10" s="249"/>
      <c r="AX10" s="249"/>
      <c r="AY10" s="249"/>
      <c r="AZ10" s="250"/>
      <c r="BA10" s="204"/>
      <c r="BB10" s="204"/>
      <c r="BC10" s="213"/>
      <c r="BD10" s="237">
        <f>IF(Dateneingabe!B48="","",Dateneingabe!B48)</f>
      </c>
      <c r="BE10" s="256">
        <f>IF(Dateneingabe!C48="","",Dateneingabe!C48)</f>
      </c>
      <c r="BF10" s="257">
        <f>IF(Dateneingabe!E48="","",Dateneingabe!E48)</f>
      </c>
      <c r="BG10" s="240">
        <f>IF(Dateneingabe!G48="","",Dateneingabe!G48)</f>
      </c>
      <c r="BH10" s="241">
        <f>IF($AH$4="","",IF(Dateneingabe!J48="","",ROUND(Dateneingabe!J48,2)))</f>
      </c>
      <c r="BI10" s="258">
        <f>IF($AH$4="","",IF(Dateneingabe!J48="","",Dateneingabe!K48&amp;" "&amp;Dateneingabe!L48))</f>
      </c>
      <c r="BJ10" s="243">
        <f t="shared" si="6"/>
      </c>
      <c r="BK10" s="241">
        <f>IF($AK$4="","",IF(BH10="","",ROUND(BH10*(1+$AF$46*Dateneingabe!$G$5),2)))</f>
      </c>
      <c r="BL10" s="259">
        <f>IF($AK$4="","",IF(Dateneingabe!J48="","",Dateneingabe!K48&amp;" "&amp;Dateneingabe!L48))</f>
      </c>
      <c r="BM10" s="245">
        <f>IF(OR(AK$4="",BK10="",$BD10=""),"",IF($BG10&lt;&gt;"",$BD10*$BG10/1000*BK10,$BD10/IF($BE10="",1,VLOOKUP($BE10,Faktor,3,0))*BK10))</f>
      </c>
      <c r="BN10" s="241">
        <f>IF($AN$4="","",IF(BH10="","",ROUND(BH10*(1+$AF$47*Dateneingabe!$G$5),2)))</f>
      </c>
      <c r="BO10" s="258">
        <f>IF($AN$4="","",IF(Dateneingabe!J48="","",Dateneingabe!K48&amp;" "&amp;Dateneingabe!L48))</f>
      </c>
      <c r="BP10" s="246">
        <f t="shared" si="8"/>
      </c>
      <c r="BQ10" s="213"/>
      <c r="BR10" s="207"/>
      <c r="BS10" s="260"/>
      <c r="BT10" s="248">
        <f t="shared" si="11"/>
      </c>
      <c r="BU10" s="248"/>
      <c r="BV10" s="249">
        <f>IF($D32="","",$D32&amp;"   =   "&amp;B32&amp;" "&amp;Dateneingabe!C44&amp;"   x   "&amp;IF($E32&lt;&gt;"",$E32&amp;" g/St   x   ","")&amp;I32&amp;" €"&amp;Dateneingabe!K44&amp;Dateneingabe!L44&amp;IF($C32="","",IF(VLOOKUP($C32,Faktor,3,0)=0,"","   :   "&amp;VLOOKUP($C32,Faktor,3,0)))&amp;"   =   "&amp;FIXED(B32*IF($E32&lt;&gt;"",$E32/1,1)*I32/IF($C32="",1,IF(VLOOKUP($C32,Faktor,3,0)=0,1,VLOOKUP($C32,Faktor,3,0))),3)&amp;" €")</f>
      </c>
      <c r="BW10" s="249"/>
      <c r="BX10" s="249"/>
      <c r="BY10" s="249"/>
      <c r="BZ10" s="250"/>
      <c r="CA10" s="204"/>
      <c r="CB10" s="204"/>
    </row>
    <row r="11" spans="1:80" ht="16.5" customHeight="1" thickBot="1">
      <c r="A11" s="213"/>
      <c r="B11" s="237">
        <f>IF(Dateneingabe!B24="","",Dateneingabe!B24)</f>
        <v>40</v>
      </c>
      <c r="C11" s="256" t="str">
        <f>IF(Dateneingabe!C24="","",Dateneingabe!C24)</f>
        <v>g</v>
      </c>
      <c r="D11" s="257" t="str">
        <f>IF(Dateneingabe!E24="","",Dateneingabe!E24)</f>
        <v>Erbsen, gekocht</v>
      </c>
      <c r="E11" s="240">
        <f>IF(Dateneingabe!G24="","",Dateneingabe!G24)</f>
      </c>
      <c r="F11" s="241">
        <f>IF($F$4="","",IF(Dateneingabe!J24="","",ROUND(Dateneingabe!J24,2)))</f>
        <v>1.18</v>
      </c>
      <c r="G11" s="242" t="str">
        <f>IF($F$4="","",IF(Dateneingabe!J24="","",Dateneingabe!K24&amp;" "&amp;Dateneingabe!L24))</f>
        <v>/ kg</v>
      </c>
      <c r="H11" s="254">
        <f t="shared" si="0"/>
        <v>0.0472</v>
      </c>
      <c r="I11" s="241">
        <f>IF($I$4="","",IF(F11="","",ROUND(F11*(1+$AF$46*Dateneingabe!$G$5),2)))</f>
        <v>1.26</v>
      </c>
      <c r="J11" s="244" t="str">
        <f>IF($I$4="","",IF(Dateneingabe!J24="","",Dateneingabe!K24&amp;" "&amp;Dateneingabe!L24))</f>
        <v>/ kg</v>
      </c>
      <c r="K11" s="245">
        <f t="shared" si="9"/>
        <v>0.0504</v>
      </c>
      <c r="L11" s="241">
        <f>IF($L$4="","",IF(F11="","",ROUND(F11*(1+$AF$47*Dateneingabe!$G$5),2)))</f>
      </c>
      <c r="M11" s="242">
        <f>IF($L$4="","",IF(Dateneingabe!J24="","",Dateneingabe!K24&amp;" "&amp;Dateneingabe!L24))</f>
      </c>
      <c r="N11" s="255">
        <f t="shared" si="1"/>
      </c>
      <c r="O11" s="213"/>
      <c r="P11" s="207"/>
      <c r="Q11" s="260"/>
      <c r="R11" s="248" t="str">
        <f t="shared" si="10"/>
        <v>Erbsen, gekocht</v>
      </c>
      <c r="S11" s="248"/>
      <c r="T11" s="249" t="str">
        <f>IF($D11="","",$D11&amp;"   =   "&amp;B11&amp;" "&amp;Dateneingabe!C24&amp;"   x   "&amp;IF($E11&lt;&gt;"",$E11&amp;" g/St   x   ","")&amp;I11&amp;" €"&amp;Dateneingabe!K24&amp;Dateneingabe!L24&amp;IF($C11="","",IF(VLOOKUP($C11,Faktor,3,0)=0,"","   :   "&amp;VLOOKUP($C11,Faktor,3,0)))&amp;"   =   "&amp;FIXED(B11*IF($E11&lt;&gt;"",$E11/1,1)*I11/IF($C11="",1,IF(VLOOKUP($C11,Faktor,3,0)=0,1,VLOOKUP($C11,Faktor,3,0))),3)&amp;" €")</f>
        <v>Erbsen, gekocht   =   40 g   x   1,26 €/kg   :   1000   =   0,050 €</v>
      </c>
      <c r="U11" s="249"/>
      <c r="V11" s="249"/>
      <c r="W11" s="249"/>
      <c r="X11" s="250"/>
      <c r="Y11" s="204"/>
      <c r="Z11" s="204"/>
      <c r="AA11" s="222"/>
      <c r="AB11" s="203"/>
      <c r="AC11" s="213"/>
      <c r="AD11" s="237">
        <f>IF(Dateneingabe!B24="","",Dateneingabe!B24)</f>
        <v>40</v>
      </c>
      <c r="AE11" s="256" t="str">
        <f>IF(Dateneingabe!C24="","",Dateneingabe!C24)</f>
        <v>g</v>
      </c>
      <c r="AF11" s="257" t="str">
        <f>IF(Dateneingabe!E24="","",Dateneingabe!E24)</f>
        <v>Erbsen, gekocht</v>
      </c>
      <c r="AG11" s="240">
        <f>IF(Dateneingabe!G24="","",Dateneingabe!G24)</f>
      </c>
      <c r="AH11" s="241">
        <f>IF($AH$4="","",IF(Dateneingabe!J24="","",ROUND(Dateneingabe!J24,2)))</f>
        <v>1.18</v>
      </c>
      <c r="AI11" s="242" t="str">
        <f>IF($AH$4="","",IF(Dateneingabe!J24="","",Dateneingabe!K24&amp;" "&amp;Dateneingabe!L24))</f>
        <v>/ kg</v>
      </c>
      <c r="AJ11" s="254">
        <f t="shared" si="2"/>
        <v>0.0472</v>
      </c>
      <c r="AK11" s="241">
        <f>IF($AK$4="","",IF(AH11="","",ROUND(AH11*(1+$AF$46*Dateneingabe!$G$5),2)))</f>
        <v>1.26</v>
      </c>
      <c r="AL11" s="244" t="str">
        <f>IF($AK$4="","",IF(Dateneingabe!J24="","",Dateneingabe!K24&amp;" "&amp;Dateneingabe!L24))</f>
        <v>/ kg</v>
      </c>
      <c r="AM11" s="245">
        <f t="shared" si="3"/>
        <v>0.0504</v>
      </c>
      <c r="AN11" s="241">
        <f>IF($AN$4="","",IF(AH11="","",ROUND(AH11*(1+$AF$47*Dateneingabe!$G$5),2)))</f>
      </c>
      <c r="AO11" s="242">
        <f>IF($AN$4="","",IF(Dateneingabe!J24="","",Dateneingabe!K24&amp;" "&amp;Dateneingabe!L24))</f>
      </c>
      <c r="AP11" s="255">
        <f t="shared" si="4"/>
      </c>
      <c r="AQ11" s="213"/>
      <c r="AR11" s="207"/>
      <c r="AS11" s="260"/>
      <c r="AT11" s="248" t="str">
        <f t="shared" si="5"/>
        <v>Erbsen, gekocht</v>
      </c>
      <c r="AU11" s="248"/>
      <c r="AV11" s="249" t="str">
        <f>IF($D11="","",$D11&amp;"   =   "&amp;B11&amp;" "&amp;Dateneingabe!C24&amp;"   x   "&amp;IF($E11&lt;&gt;"",$E11&amp;" g/St   x   ","")&amp;I11&amp;" €"&amp;Dateneingabe!K24&amp;Dateneingabe!L24&amp;IF($C11="","",IF(VLOOKUP($C11,Faktor,3,0)=0,"","   :   "&amp;VLOOKUP($C11,Faktor,3,0)))&amp;"   =   "&amp;FIXED(B11*IF($E11&lt;&gt;"",$E11/1,1)*I11/IF($C11="",1,IF(VLOOKUP($C11,Faktor,3,0)=0,1,VLOOKUP($C11,Faktor,3,0))),3)&amp;" €")</f>
        <v>Erbsen, gekocht   =   40 g   x   1,26 €/kg   :   1000   =   0,050 €</v>
      </c>
      <c r="AW11" s="249"/>
      <c r="AX11" s="249"/>
      <c r="AY11" s="249"/>
      <c r="AZ11" s="250"/>
      <c r="BA11" s="204"/>
      <c r="BB11" s="204"/>
      <c r="BC11" s="213"/>
      <c r="BD11" s="237">
        <f>IF(Dateneingabe!B50="","",Dateneingabe!B50)</f>
      </c>
      <c r="BE11" s="256">
        <f>IF(Dateneingabe!C50="","",Dateneingabe!C50)</f>
      </c>
      <c r="BF11" s="257">
        <f>IF(Dateneingabe!E50="","",Dateneingabe!E50)</f>
      </c>
      <c r="BG11" s="240">
        <f>IF(Dateneingabe!G50="","",Dateneingabe!G50)</f>
      </c>
      <c r="BH11" s="241">
        <f>IF($AH$4="","",IF(Dateneingabe!J50="","",ROUND(Dateneingabe!J50,2)))</f>
      </c>
      <c r="BI11" s="242">
        <f>IF($AH$4="","",IF(Dateneingabe!J50="","",Dateneingabe!K50&amp;" "&amp;Dateneingabe!L50))</f>
      </c>
      <c r="BJ11" s="243">
        <f t="shared" si="6"/>
      </c>
      <c r="BK11" s="241">
        <f>IF($AK$4="","",IF(BH11="","",ROUND(BH11*(1+$AF$46*Dateneingabe!$G$5),2)))</f>
      </c>
      <c r="BL11" s="244">
        <f>IF($AK$4="","",IF(Dateneingabe!J50="","",Dateneingabe!K50&amp;" "&amp;Dateneingabe!L50))</f>
      </c>
      <c r="BM11" s="245">
        <f t="shared" si="7"/>
      </c>
      <c r="BN11" s="241">
        <f>IF($AN$4="","",IF(BH11="","",ROUND(BH11*(1+$AF$47*Dateneingabe!$G$5),2)))</f>
      </c>
      <c r="BO11" s="242">
        <f>IF($AN$4="","",IF(Dateneingabe!J50="","",Dateneingabe!K50&amp;" "&amp;Dateneingabe!L50))</f>
      </c>
      <c r="BP11" s="246">
        <f t="shared" si="8"/>
      </c>
      <c r="BQ11" s="213"/>
      <c r="BR11" s="207"/>
      <c r="BS11" s="260"/>
      <c r="BT11" s="248">
        <f t="shared" si="11"/>
      </c>
      <c r="BU11" s="248"/>
      <c r="BV11" s="249">
        <f>IF($D33="","",$D33&amp;"   =   "&amp;B33&amp;" "&amp;Dateneingabe!C46&amp;"   x   "&amp;IF($E33&lt;&gt;"",$E33&amp;" g/St   x   ","")&amp;I33&amp;" €"&amp;Dateneingabe!K46&amp;Dateneingabe!L46&amp;IF($C33="","",IF(VLOOKUP($C33,Faktor,3,0)=0,"","   :   "&amp;VLOOKUP($C33,Faktor,3,0)))&amp;"   =   "&amp;FIXED(B33*IF($E33&lt;&gt;"",$E33/1,1)*I33/IF($C33="",1,IF(VLOOKUP($C33,Faktor,3,0)=0,1,VLOOKUP($C33,Faktor,3,0))),3)&amp;" €")</f>
      </c>
      <c r="BW11" s="249"/>
      <c r="BX11" s="249"/>
      <c r="BY11" s="249"/>
      <c r="BZ11" s="250"/>
      <c r="CA11" s="204"/>
      <c r="CB11" s="204"/>
    </row>
    <row r="12" spans="1:80" ht="16.5" customHeight="1" thickBot="1">
      <c r="A12" s="213"/>
      <c r="B12" s="237">
        <f>IF(Dateneingabe!B26="","",Dateneingabe!B26)</f>
        <v>40</v>
      </c>
      <c r="C12" s="256" t="str">
        <f>IF(Dateneingabe!C26="","",Dateneingabe!C26)</f>
        <v>g</v>
      </c>
      <c r="D12" s="257" t="str">
        <f>IF(Dateneingabe!E26="","",Dateneingabe!E26)</f>
        <v>Essiggurken</v>
      </c>
      <c r="E12" s="240">
        <f>IF(Dateneingabe!G26="","",Dateneingabe!G26)</f>
      </c>
      <c r="F12" s="241">
        <f>IF($F$4="","",IF(Dateneingabe!J26="","",ROUND(Dateneingabe!J26,2)))</f>
        <v>4.1</v>
      </c>
      <c r="G12" s="258" t="str">
        <f>IF($F$4="","",IF(Dateneingabe!J26="","",Dateneingabe!K26&amp;" "&amp;Dateneingabe!L26))</f>
        <v>/ kg</v>
      </c>
      <c r="H12" s="254">
        <f t="shared" si="0"/>
        <v>0.16399999999999998</v>
      </c>
      <c r="I12" s="241">
        <f>IF($I$4="","",IF(F12="","",ROUND(F12*(1+$AF$46*Dateneingabe!$G$5),2)))</f>
        <v>4.38</v>
      </c>
      <c r="J12" s="259" t="str">
        <f>IF($I$4="","",IF(Dateneingabe!J26="","",Dateneingabe!K26&amp;" "&amp;Dateneingabe!L26))</f>
        <v>/ kg</v>
      </c>
      <c r="K12" s="245">
        <f t="shared" si="9"/>
        <v>0.1752</v>
      </c>
      <c r="L12" s="241">
        <f>IF($L$4="","",IF(F12="","",ROUND(F12*(1+$AF$47*Dateneingabe!$G$5),2)))</f>
      </c>
      <c r="M12" s="258">
        <f>IF($L$4="","",IF(Dateneingabe!J26="","",Dateneingabe!K26&amp;" "&amp;Dateneingabe!L26))</f>
      </c>
      <c r="N12" s="255">
        <f t="shared" si="1"/>
      </c>
      <c r="O12" s="213"/>
      <c r="P12" s="207"/>
      <c r="Q12" s="260"/>
      <c r="R12" s="248" t="str">
        <f t="shared" si="10"/>
        <v>Essiggurken</v>
      </c>
      <c r="S12" s="248"/>
      <c r="T12" s="249" t="str">
        <f>IF($D12="","",$D12&amp;"   =   "&amp;B12&amp;" "&amp;Dateneingabe!C26&amp;"   x   "&amp;IF($E12&lt;&gt;"",$E12&amp;" g/St   x   ","")&amp;I12&amp;" €"&amp;Dateneingabe!K26&amp;Dateneingabe!L26&amp;IF($C12="","",IF(VLOOKUP($C12,Faktor,3,0)=0,"","   :   "&amp;VLOOKUP($C12,Faktor,3,0)))&amp;"   =   "&amp;FIXED(B12*IF($E12&lt;&gt;"",$E12/1,1)*I12/IF($C12="",1,IF(VLOOKUP($C12,Faktor,3,0)=0,1,VLOOKUP($C12,Faktor,3,0))),3)&amp;" €")</f>
        <v>Essiggurken   =   40 g   x   4,38 €/kg   :   1000   =   0,175 €</v>
      </c>
      <c r="U12" s="249"/>
      <c r="V12" s="249"/>
      <c r="W12" s="249"/>
      <c r="X12" s="250"/>
      <c r="Y12" s="204"/>
      <c r="Z12" s="204"/>
      <c r="AA12" s="230"/>
      <c r="AB12" s="203"/>
      <c r="AC12" s="213"/>
      <c r="AD12" s="237">
        <f>IF(Dateneingabe!B26="","",Dateneingabe!B26)</f>
        <v>40</v>
      </c>
      <c r="AE12" s="256" t="str">
        <f>IF(Dateneingabe!C26="","",Dateneingabe!C26)</f>
        <v>g</v>
      </c>
      <c r="AF12" s="257" t="str">
        <f>IF(Dateneingabe!E26="","",Dateneingabe!E26)</f>
        <v>Essiggurken</v>
      </c>
      <c r="AG12" s="240">
        <f>IF(Dateneingabe!G26="","",Dateneingabe!G26)</f>
      </c>
      <c r="AH12" s="241">
        <f>IF($AH$4="","",IF(Dateneingabe!J26="","",ROUND(Dateneingabe!J26,2)))</f>
        <v>4.1</v>
      </c>
      <c r="AI12" s="258" t="str">
        <f>IF($AH$4="","",IF(Dateneingabe!J26="","",Dateneingabe!K26&amp;" "&amp;Dateneingabe!L26))</f>
        <v>/ kg</v>
      </c>
      <c r="AJ12" s="254">
        <f t="shared" si="2"/>
        <v>0.16399999999999998</v>
      </c>
      <c r="AK12" s="241">
        <f>IF($AK$4="","",IF(AH12="","",ROUND(AH12*(1+$AF$46*Dateneingabe!$G$5),2)))</f>
        <v>4.38</v>
      </c>
      <c r="AL12" s="259" t="str">
        <f>IF($AK$4="","",IF(Dateneingabe!J26="","",Dateneingabe!K26&amp;" "&amp;Dateneingabe!L26))</f>
        <v>/ kg</v>
      </c>
      <c r="AM12" s="245">
        <f t="shared" si="3"/>
        <v>0.1752</v>
      </c>
      <c r="AN12" s="241">
        <f>IF($AN$4="","",IF(AH12="","",ROUND(AH12*(1+$AF$47*Dateneingabe!$G$5),2)))</f>
      </c>
      <c r="AO12" s="258">
        <f>IF($AN$4="","",IF(Dateneingabe!J26="","",Dateneingabe!K26&amp;" "&amp;Dateneingabe!L26))</f>
      </c>
      <c r="AP12" s="255">
        <f t="shared" si="4"/>
      </c>
      <c r="AQ12" s="213"/>
      <c r="AR12" s="207"/>
      <c r="AS12" s="260"/>
      <c r="AT12" s="248" t="str">
        <f t="shared" si="5"/>
        <v>Essiggurken</v>
      </c>
      <c r="AU12" s="248"/>
      <c r="AV12" s="249" t="str">
        <f>IF($D12="","",$D12&amp;"   =   "&amp;B12&amp;" "&amp;Dateneingabe!C26&amp;"   x   "&amp;IF($E12&lt;&gt;"",$E12&amp;" g/St   x   ","")&amp;I12&amp;" €"&amp;Dateneingabe!K26&amp;Dateneingabe!L26&amp;IF($C12="","",IF(VLOOKUP($C12,Faktor,3,0)=0,"","   :   "&amp;VLOOKUP($C12,Faktor,3,0)))&amp;"   =   "&amp;FIXED(B12*IF($E12&lt;&gt;"",$E12/1,1)*I12/IF($C12="",1,IF(VLOOKUP($C12,Faktor,3,0)=0,1,VLOOKUP($C12,Faktor,3,0))),3)&amp;" €")</f>
        <v>Essiggurken   =   40 g   x   4,38 €/kg   :   1000   =   0,175 €</v>
      </c>
      <c r="AW12" s="249"/>
      <c r="AX12" s="249"/>
      <c r="AY12" s="249"/>
      <c r="AZ12" s="250"/>
      <c r="BA12" s="204"/>
      <c r="BB12" s="204"/>
      <c r="BC12" s="213"/>
      <c r="BD12" s="237">
        <f>IF(Dateneingabe!B52="","",Dateneingabe!B52)</f>
      </c>
      <c r="BE12" s="256">
        <f>IF(Dateneingabe!C52="","",Dateneingabe!C52)</f>
      </c>
      <c r="BF12" s="257">
        <f>IF(Dateneingabe!E52="","",Dateneingabe!E52)</f>
      </c>
      <c r="BG12" s="240">
        <f>IF(Dateneingabe!G52="","",Dateneingabe!G52)</f>
      </c>
      <c r="BH12" s="241">
        <f>IF($AH$4="","",IF(Dateneingabe!J52="","",ROUND(Dateneingabe!J52,2)))</f>
      </c>
      <c r="BI12" s="242">
        <f>IF($AH$4="","",IF(Dateneingabe!J52="","",Dateneingabe!K52&amp;" "&amp;Dateneingabe!L52))</f>
      </c>
      <c r="BJ12" s="243">
        <f t="shared" si="6"/>
      </c>
      <c r="BK12" s="241">
        <f>IF($AK$4="","",IF(BH12="","",ROUND(BH12*(1+$AF$46*Dateneingabe!$G$5),2)))</f>
      </c>
      <c r="BL12" s="244">
        <f>IF($AK$4="","",IF(Dateneingabe!J52="","",Dateneingabe!K52&amp;" "&amp;Dateneingabe!L52))</f>
      </c>
      <c r="BM12" s="245">
        <f t="shared" si="7"/>
      </c>
      <c r="BN12" s="241">
        <f>IF($AN$4="","",IF(BH12="","",ROUND(BH12*(1+$AF$47*Dateneingabe!$G$5),2)))</f>
      </c>
      <c r="BO12" s="242">
        <f>IF($AN$4="","",IF(Dateneingabe!J52="","",Dateneingabe!K52&amp;" "&amp;Dateneingabe!L52))</f>
      </c>
      <c r="BP12" s="246">
        <f t="shared" si="8"/>
      </c>
      <c r="BQ12" s="213"/>
      <c r="BR12" s="207"/>
      <c r="BS12" s="260"/>
      <c r="BT12" s="248">
        <f t="shared" si="11"/>
      </c>
      <c r="BU12" s="248"/>
      <c r="BV12" s="249">
        <f>IF($D34="","",$D34&amp;"   =   "&amp;B34&amp;" "&amp;Dateneingabe!C48&amp;"   x   "&amp;IF($E34&lt;&gt;"",$E34&amp;" g/St   x   ","")&amp;I34&amp;" €"&amp;Dateneingabe!K48&amp;Dateneingabe!L48&amp;IF($C34="","",IF(VLOOKUP($C34,Faktor,3,0)=0,"","   :   "&amp;VLOOKUP($C34,Faktor,3,0)))&amp;"   =   "&amp;FIXED(B34*IF($E34&lt;&gt;"",$E34/1,1)*I34/IF($C34="",1,IF(VLOOKUP($C34,Faktor,3,0)=0,1,VLOOKUP($C34,Faktor,3,0))),3)&amp;" €")</f>
      </c>
      <c r="BW12" s="249"/>
      <c r="BX12" s="249"/>
      <c r="BY12" s="249"/>
      <c r="BZ12" s="250"/>
      <c r="CA12" s="204"/>
      <c r="CB12" s="204"/>
    </row>
    <row r="13" spans="1:80" ht="16.5" customHeight="1" thickBot="1">
      <c r="A13" s="213"/>
      <c r="B13" s="237">
        <f>IF(Dateneingabe!B28="","",Dateneingabe!B28)</f>
        <v>40</v>
      </c>
      <c r="C13" s="261" t="str">
        <f>IF(Dateneingabe!C28="","",Dateneingabe!C28)</f>
        <v>g</v>
      </c>
      <c r="D13" s="257" t="str">
        <f>IF(Dateneingabe!E28="","",Dateneingabe!E28)</f>
        <v>Äpfel</v>
      </c>
      <c r="E13" s="240">
        <f>IF(Dateneingabe!G28="","",Dateneingabe!G28)</f>
      </c>
      <c r="F13" s="241">
        <f>IF($F$4="","",IF(Dateneingabe!J28="","",ROUND(Dateneingabe!J28,2)))</f>
        <v>0.85</v>
      </c>
      <c r="G13" s="258" t="str">
        <f>IF($F$4="","",IF(Dateneingabe!J28="","",Dateneingabe!K28&amp;" "&amp;Dateneingabe!L28))</f>
        <v>/ kg</v>
      </c>
      <c r="H13" s="254">
        <f t="shared" si="0"/>
        <v>0.034</v>
      </c>
      <c r="I13" s="241">
        <f>IF($I$4="","",IF(F13="","",ROUND(F13*(1+$AF$46*Dateneingabe!$G$5),2)))</f>
        <v>0.91</v>
      </c>
      <c r="J13" s="259" t="str">
        <f>IF($I$4="","",IF(Dateneingabe!J28="","",Dateneingabe!K28&amp;" "&amp;Dateneingabe!L28))</f>
        <v>/ kg</v>
      </c>
      <c r="K13" s="245">
        <f t="shared" si="9"/>
        <v>0.0364</v>
      </c>
      <c r="L13" s="241">
        <f>IF($L$4="","",IF(F13="","",ROUND(F13*(1+$AF$47*Dateneingabe!$G$5),2)))</f>
      </c>
      <c r="M13" s="258">
        <f>IF($L$4="","",IF(Dateneingabe!J28="","",Dateneingabe!K28&amp;" "&amp;Dateneingabe!L28))</f>
      </c>
      <c r="N13" s="255">
        <f t="shared" si="1"/>
      </c>
      <c r="O13" s="213"/>
      <c r="P13" s="207"/>
      <c r="Q13" s="260"/>
      <c r="R13" s="248" t="str">
        <f t="shared" si="10"/>
        <v>Äpfel</v>
      </c>
      <c r="S13" s="248"/>
      <c r="T13" s="249" t="str">
        <f>IF($D13="","",$D13&amp;"   =   "&amp;B13&amp;" "&amp;Dateneingabe!C28&amp;"   x   "&amp;IF($E13&lt;&gt;"",$E13&amp;" g/St   x   ","")&amp;I13&amp;" €"&amp;Dateneingabe!K28&amp;Dateneingabe!L28&amp;IF($C13="","",IF(VLOOKUP($C13,Faktor,3,0)=0,"","   :   "&amp;VLOOKUP($C13,Faktor,3,0)))&amp;"   =   "&amp;FIXED(B13*IF($E13&lt;&gt;"",$E13/1,1)*I13/IF($C13="",1,IF(VLOOKUP($C13,Faktor,3,0)=0,1,VLOOKUP($C13,Faktor,3,0))),3)&amp;" €")</f>
        <v>Äpfel   =   40 g   x   0,91 €/kg   :   1000   =   0,036 €</v>
      </c>
      <c r="U13" s="249"/>
      <c r="V13" s="249"/>
      <c r="W13" s="249"/>
      <c r="X13" s="250"/>
      <c r="Y13" s="204"/>
      <c r="Z13" s="204"/>
      <c r="AA13" s="222"/>
      <c r="AB13" s="203"/>
      <c r="AC13" s="213"/>
      <c r="AD13" s="237">
        <f>IF(Dateneingabe!B28="","",Dateneingabe!B28)</f>
        <v>40</v>
      </c>
      <c r="AE13" s="261" t="str">
        <f>IF(Dateneingabe!C28="","",Dateneingabe!C28)</f>
        <v>g</v>
      </c>
      <c r="AF13" s="257" t="str">
        <f>IF(Dateneingabe!E28="","",Dateneingabe!E28)</f>
        <v>Äpfel</v>
      </c>
      <c r="AG13" s="240">
        <f>IF(Dateneingabe!G28="","",Dateneingabe!G28)</f>
      </c>
      <c r="AH13" s="241">
        <f>IF($AH$4="","",IF(Dateneingabe!J28="","",ROUND(Dateneingabe!J28,2)))</f>
        <v>0.85</v>
      </c>
      <c r="AI13" s="258" t="str">
        <f>IF($AH$4="","",IF(Dateneingabe!J28="","",Dateneingabe!K28&amp;" "&amp;Dateneingabe!L28))</f>
        <v>/ kg</v>
      </c>
      <c r="AJ13" s="254">
        <f t="shared" si="2"/>
        <v>0.034</v>
      </c>
      <c r="AK13" s="241">
        <f>IF($AK$4="","",IF(AH13="","",ROUND(AH13*(1+$AF$46*Dateneingabe!$G$5),2)))</f>
        <v>0.91</v>
      </c>
      <c r="AL13" s="259" t="str">
        <f>IF($AK$4="","",IF(Dateneingabe!J28="","",Dateneingabe!K28&amp;" "&amp;Dateneingabe!L28))</f>
        <v>/ kg</v>
      </c>
      <c r="AM13" s="245">
        <f t="shared" si="3"/>
        <v>0.0364</v>
      </c>
      <c r="AN13" s="241">
        <f>IF($AN$4="","",IF(AH13="","",ROUND(AH13*(1+$AF$47*Dateneingabe!$G$5),2)))</f>
      </c>
      <c r="AO13" s="258">
        <f>IF($AN$4="","",IF(Dateneingabe!J28="","",Dateneingabe!K28&amp;" "&amp;Dateneingabe!L28))</f>
      </c>
      <c r="AP13" s="255">
        <f t="shared" si="4"/>
      </c>
      <c r="AQ13" s="213"/>
      <c r="AR13" s="207"/>
      <c r="AS13" s="260"/>
      <c r="AT13" s="248" t="str">
        <f t="shared" si="5"/>
        <v>Äpfel</v>
      </c>
      <c r="AU13" s="248"/>
      <c r="AV13" s="249" t="str">
        <f>IF($D13="","",$D13&amp;"   =   "&amp;B13&amp;" "&amp;Dateneingabe!C28&amp;"   x   "&amp;IF($E13&lt;&gt;"",$E13&amp;" g/St   x   ","")&amp;I13&amp;" €"&amp;Dateneingabe!K28&amp;Dateneingabe!L28&amp;IF($C13="","",IF(VLOOKUP($C13,Faktor,3,0)=0,"","   :   "&amp;VLOOKUP($C13,Faktor,3,0)))&amp;"   =   "&amp;FIXED(B13*IF($E13&lt;&gt;"",$E13/1,1)*I13/IF($C13="",1,IF(VLOOKUP($C13,Faktor,3,0)=0,1,VLOOKUP($C13,Faktor,3,0))),3)&amp;" €")</f>
        <v>Äpfel   =   40 g   x   0,91 €/kg   :   1000   =   0,036 €</v>
      </c>
      <c r="AW13" s="249"/>
      <c r="AX13" s="249"/>
      <c r="AY13" s="249"/>
      <c r="AZ13" s="250"/>
      <c r="BA13" s="204"/>
      <c r="BB13" s="204"/>
      <c r="BC13" s="213"/>
      <c r="BD13" s="237">
        <f>IF(Dateneingabe!B54="","",Dateneingabe!B54)</f>
      </c>
      <c r="BE13" s="256">
        <f>IF(Dateneingabe!C54="","",Dateneingabe!C54)</f>
      </c>
      <c r="BF13" s="257">
        <f>IF(Dateneingabe!E54="","",Dateneingabe!E54)</f>
      </c>
      <c r="BG13" s="240">
        <f>IF(Dateneingabe!G54="","",Dateneingabe!G54)</f>
      </c>
      <c r="BH13" s="241">
        <f>IF($AH$4="","",IF(Dateneingabe!J54="","",ROUND(Dateneingabe!J54,2)))</f>
      </c>
      <c r="BI13" s="242">
        <f>IF($AH$4="","",IF(Dateneingabe!J54="","",Dateneingabe!K54&amp;" "&amp;Dateneingabe!L54))</f>
      </c>
      <c r="BJ13" s="243">
        <f t="shared" si="6"/>
      </c>
      <c r="BK13" s="241">
        <f>IF($AK$4="","",IF(BH13="","",ROUND(BH13*(1+$AF$46*Dateneingabe!$G$5),2)))</f>
      </c>
      <c r="BL13" s="244">
        <f>IF($AK$4="","",IF(Dateneingabe!J54="","",Dateneingabe!K54&amp;" "&amp;Dateneingabe!L54))</f>
      </c>
      <c r="BM13" s="245">
        <f t="shared" si="7"/>
      </c>
      <c r="BN13" s="241">
        <f>IF($AN$4="","",IF(BH13="","",ROUND(BH13*(1+$AF$47*Dateneingabe!$G$5),2)))</f>
      </c>
      <c r="BO13" s="242">
        <f>IF($AN$4="","",IF(Dateneingabe!J54="","",Dateneingabe!K54&amp;" "&amp;Dateneingabe!L54))</f>
      </c>
      <c r="BP13" s="246">
        <f t="shared" si="8"/>
      </c>
      <c r="BQ13" s="213"/>
      <c r="BR13" s="207"/>
      <c r="BS13" s="260"/>
      <c r="BT13" s="248">
        <f t="shared" si="11"/>
      </c>
      <c r="BU13" s="248"/>
      <c r="BV13" s="249">
        <f>IF($D35="","",$D35&amp;"   =   "&amp;B35&amp;" "&amp;Dateneingabe!C50&amp;"   x   "&amp;IF($E35&lt;&gt;"",$E35&amp;" g/St   x   ","")&amp;I35&amp;" €"&amp;Dateneingabe!K50&amp;Dateneingabe!L50&amp;IF($C35="","",IF(VLOOKUP($C35,Faktor,3,0)=0,"","   :   "&amp;VLOOKUP($C35,Faktor,3,0)))&amp;"   =   "&amp;FIXED(B35*IF($E35&lt;&gt;"",$E35/1,1)*I35/IF($C35="",1,IF(VLOOKUP($C35,Faktor,3,0)=0,1,VLOOKUP($C35,Faktor,3,0))),3)&amp;" €")</f>
      </c>
      <c r="BW13" s="249"/>
      <c r="BX13" s="249"/>
      <c r="BY13" s="249"/>
      <c r="BZ13" s="250"/>
      <c r="CA13" s="204"/>
      <c r="CB13" s="204"/>
    </row>
    <row r="14" spans="1:80" ht="16.5" customHeight="1" thickBot="1">
      <c r="A14" s="213"/>
      <c r="B14" s="237">
        <f>IF(Dateneingabe!B30="","",Dateneingabe!B30)</f>
        <v>0.1</v>
      </c>
      <c r="C14" s="256" t="str">
        <f>IF(Dateneingabe!C30="","",Dateneingabe!C30)</f>
        <v>l</v>
      </c>
      <c r="D14" s="257" t="str">
        <f>IF(Dateneingabe!E30="","",Dateneingabe!E30)</f>
        <v>Majonäse</v>
      </c>
      <c r="E14" s="240">
        <f>IF(Dateneingabe!G30="","",Dateneingabe!G30)</f>
      </c>
      <c r="F14" s="241">
        <f>IF($F$4="","",IF(Dateneingabe!J30="","",ROUND(Dateneingabe!J30,2)))</f>
        <v>3.63</v>
      </c>
      <c r="G14" s="258" t="str">
        <f>IF($F$4="","",IF(Dateneingabe!J30="","",Dateneingabe!K30&amp;" "&amp;Dateneingabe!L30))</f>
        <v>/ l</v>
      </c>
      <c r="H14" s="254">
        <f t="shared" si="0"/>
        <v>0.363</v>
      </c>
      <c r="I14" s="241">
        <f>IF($I$4="","",IF(F14="","",ROUND(F14*(1+$AF$46*Dateneingabe!$G$5),2)))</f>
        <v>3.88</v>
      </c>
      <c r="J14" s="259" t="str">
        <f>IF($I$4="","",IF(Dateneingabe!J30="","",Dateneingabe!K30&amp;" "&amp;Dateneingabe!L30))</f>
        <v>/ l</v>
      </c>
      <c r="K14" s="245">
        <f t="shared" si="9"/>
        <v>0.388</v>
      </c>
      <c r="L14" s="241">
        <f>IF($L$4="","",IF(F14="","",ROUND(F14*(1+$AF$47*Dateneingabe!$G$5),2)))</f>
      </c>
      <c r="M14" s="258">
        <f>IF($L$4="","",IF(Dateneingabe!J30="","",Dateneingabe!K30&amp;" "&amp;Dateneingabe!L30))</f>
      </c>
      <c r="N14" s="255">
        <f t="shared" si="1"/>
      </c>
      <c r="O14" s="213"/>
      <c r="P14" s="207"/>
      <c r="Q14" s="260"/>
      <c r="R14" s="248" t="str">
        <f t="shared" si="10"/>
        <v>Majonäse</v>
      </c>
      <c r="S14" s="248"/>
      <c r="T14" s="249" t="str">
        <f>IF($D14="","",$D14&amp;"   =   "&amp;B14&amp;" "&amp;Dateneingabe!C30&amp;"   x   "&amp;IF($E14&lt;&gt;"",$E14&amp;" g/St   x   ","")&amp;I14&amp;" €"&amp;Dateneingabe!K30&amp;Dateneingabe!L30&amp;IF($C14="","",IF(VLOOKUP($C14,Faktor,3,0)=0,"","   :   "&amp;VLOOKUP($C14,Faktor,3,0)))&amp;"   =   "&amp;FIXED(B14*IF($E14&lt;&gt;"",$E14/1,1)*I14/IF($C14="",1,IF(VLOOKUP($C14,Faktor,3,0)=0,1,VLOOKUP($C14,Faktor,3,0))),3)&amp;" €")</f>
        <v>Majonäse   =   0,1 l   x   3,88 €/l   :   1   =   0,388 €</v>
      </c>
      <c r="U14" s="249"/>
      <c r="V14" s="249"/>
      <c r="W14" s="249"/>
      <c r="X14" s="250"/>
      <c r="Y14" s="204"/>
      <c r="Z14" s="204"/>
      <c r="AA14" s="230"/>
      <c r="AB14" s="203"/>
      <c r="AC14" s="213"/>
      <c r="AD14" s="237">
        <f>IF(Dateneingabe!B30="","",Dateneingabe!B30)</f>
        <v>0.1</v>
      </c>
      <c r="AE14" s="256" t="str">
        <f>IF(Dateneingabe!C30="","",Dateneingabe!C30)</f>
        <v>l</v>
      </c>
      <c r="AF14" s="257" t="str">
        <f>IF(Dateneingabe!E30="","",Dateneingabe!E30)</f>
        <v>Majonäse</v>
      </c>
      <c r="AG14" s="240">
        <f>IF(Dateneingabe!G30="","",Dateneingabe!G30)</f>
      </c>
      <c r="AH14" s="241">
        <f>IF($AH$4="","",IF(Dateneingabe!J30="","",ROUND(Dateneingabe!J30,2)))</f>
        <v>3.63</v>
      </c>
      <c r="AI14" s="258" t="str">
        <f>IF($AH$4="","",IF(Dateneingabe!J30="","",Dateneingabe!K30&amp;" "&amp;Dateneingabe!L30))</f>
        <v>/ l</v>
      </c>
      <c r="AJ14" s="254">
        <f t="shared" si="2"/>
        <v>0.363</v>
      </c>
      <c r="AK14" s="241">
        <f>IF($AK$4="","",IF(AH14="","",ROUND(AH14*(1+$AF$46*Dateneingabe!$G$5),2)))</f>
        <v>3.88</v>
      </c>
      <c r="AL14" s="259" t="str">
        <f>IF($AK$4="","",IF(Dateneingabe!J30="","",Dateneingabe!K30&amp;" "&amp;Dateneingabe!L30))</f>
        <v>/ l</v>
      </c>
      <c r="AM14" s="245">
        <f t="shared" si="3"/>
        <v>0.388</v>
      </c>
      <c r="AN14" s="241">
        <f>IF($AN$4="","",IF(AH14="","",ROUND(AH14*(1+$AF$47*Dateneingabe!$G$5),2)))</f>
      </c>
      <c r="AO14" s="258">
        <f>IF($AN$4="","",IF(Dateneingabe!J30="","",Dateneingabe!K30&amp;" "&amp;Dateneingabe!L30))</f>
      </c>
      <c r="AP14" s="255">
        <f t="shared" si="4"/>
      </c>
      <c r="AQ14" s="213"/>
      <c r="AR14" s="207"/>
      <c r="AS14" s="260"/>
      <c r="AT14" s="248" t="str">
        <f t="shared" si="5"/>
        <v>Majonäse</v>
      </c>
      <c r="AU14" s="248"/>
      <c r="AV14" s="249" t="str">
        <f>IF($D14="","",$D14&amp;"   =   "&amp;B14&amp;" "&amp;Dateneingabe!C30&amp;"   x   "&amp;IF($E14&lt;&gt;"",$E14&amp;" g/St   x   ","")&amp;I14&amp;" €"&amp;Dateneingabe!K30&amp;Dateneingabe!L30&amp;IF($C14="","",IF(VLOOKUP($C14,Faktor,3,0)=0,"","   :   "&amp;VLOOKUP($C14,Faktor,3,0)))&amp;"   =   "&amp;FIXED(B14*IF($E14&lt;&gt;"",$E14/1,1)*I14/IF($C14="",1,IF(VLOOKUP($C14,Faktor,3,0)=0,1,VLOOKUP($C14,Faktor,3,0))),3)&amp;" €")</f>
        <v>Majonäse   =   0,1 l   x   3,88 €/l   :   1   =   0,388 €</v>
      </c>
      <c r="AW14" s="249"/>
      <c r="AX14" s="249"/>
      <c r="AY14" s="249"/>
      <c r="AZ14" s="250"/>
      <c r="BA14" s="204"/>
      <c r="BB14" s="204"/>
      <c r="BC14" s="213"/>
      <c r="BD14" s="237">
        <f>IF(Dateneingabe!B56="","",Dateneingabe!B56)</f>
      </c>
      <c r="BE14" s="256">
        <f>IF(Dateneingabe!C56="","",Dateneingabe!C56)</f>
      </c>
      <c r="BF14" s="257">
        <f>IF(Dateneingabe!E56="","",Dateneingabe!E56)</f>
      </c>
      <c r="BG14" s="240">
        <f>IF(Dateneingabe!G56="","",Dateneingabe!G56)</f>
      </c>
      <c r="BH14" s="241">
        <f>IF($AH$4="","",IF(Dateneingabe!J56="","",ROUND(Dateneingabe!J56,2)))</f>
      </c>
      <c r="BI14" s="242">
        <f>IF($AH$4="","",IF(Dateneingabe!J56="","",Dateneingabe!K56&amp;" "&amp;Dateneingabe!L56))</f>
      </c>
      <c r="BJ14" s="243">
        <f t="shared" si="6"/>
      </c>
      <c r="BK14" s="241">
        <f>IF($AK$4="","",IF(BH14="","",ROUND(BH14*(1+$AF$46*Dateneingabe!$G$5),2)))</f>
      </c>
      <c r="BL14" s="244">
        <f>IF($AK$4="","",IF(Dateneingabe!J56="","",Dateneingabe!K56&amp;" "&amp;Dateneingabe!L56))</f>
      </c>
      <c r="BM14" s="245">
        <f t="shared" si="7"/>
      </c>
      <c r="BN14" s="241">
        <f>IF($AN$4="","",IF(BH14="","",ROUND(BH14*(1+$AF$47*Dateneingabe!$G$5),2)))</f>
      </c>
      <c r="BO14" s="242">
        <f>IF($AN$4="","",IF(Dateneingabe!J56="","",Dateneingabe!K56&amp;" "&amp;Dateneingabe!L56))</f>
      </c>
      <c r="BP14" s="246">
        <f t="shared" si="8"/>
      </c>
      <c r="BQ14" s="213"/>
      <c r="BR14" s="207"/>
      <c r="BS14" s="260"/>
      <c r="BT14" s="248">
        <f t="shared" si="11"/>
      </c>
      <c r="BU14" s="248"/>
      <c r="BV14" s="249">
        <f>IF($D36="","",$D36&amp;"   =   "&amp;B36&amp;" "&amp;Dateneingabe!C52&amp;"   x   "&amp;IF($E36&lt;&gt;"",$E36&amp;" g/St   x   ","")&amp;I36&amp;" €"&amp;Dateneingabe!K52&amp;Dateneingabe!L52&amp;IF($C36="","",IF(VLOOKUP($C36,Faktor,3,0)=0,"","   :   "&amp;VLOOKUP($C36,Faktor,3,0)))&amp;"   =   "&amp;FIXED(B36*IF($E36&lt;&gt;"",$E36/1,1)*I36/IF($C36="",1,IF(VLOOKUP($C36,Faktor,3,0)=0,1,VLOOKUP($C36,Faktor,3,0))),3)&amp;" €")</f>
      </c>
      <c r="BW14" s="249"/>
      <c r="BX14" s="249"/>
      <c r="BY14" s="249"/>
      <c r="BZ14" s="250"/>
      <c r="CA14" s="204"/>
      <c r="CB14" s="204"/>
    </row>
    <row r="15" spans="1:80" ht="16.5" customHeight="1" thickBot="1">
      <c r="A15" s="213"/>
      <c r="B15" s="237">
        <f>IF(Dateneingabe!B32="","",Dateneingabe!B32)</f>
        <v>0.05</v>
      </c>
      <c r="C15" s="256" t="str">
        <f>IF(Dateneingabe!C32="","",Dateneingabe!C32)</f>
        <v>l</v>
      </c>
      <c r="D15" s="257" t="str">
        <f>IF(Dateneingabe!E32="","",Dateneingabe!E32)</f>
        <v>Jogurt</v>
      </c>
      <c r="E15" s="240">
        <f>IF(Dateneingabe!G32="","",Dateneingabe!G32)</f>
      </c>
      <c r="F15" s="241">
        <f>IF($F$4="","",IF(Dateneingabe!J32="","",ROUND(Dateneingabe!J32,2)))</f>
        <v>1.8</v>
      </c>
      <c r="G15" s="258" t="str">
        <f>IF($F$4="","",IF(Dateneingabe!J32="","",Dateneingabe!K32&amp;" "&amp;Dateneingabe!L32))</f>
        <v>/ l</v>
      </c>
      <c r="H15" s="254">
        <f t="shared" si="0"/>
        <v>0.09000000000000001</v>
      </c>
      <c r="I15" s="241">
        <f>IF($I$4="","",IF(F15="","",ROUND(F15*(1+$AF$46*Dateneingabe!$G$5),2)))</f>
        <v>1.92</v>
      </c>
      <c r="J15" s="259" t="str">
        <f>IF($I$4="","",IF(Dateneingabe!J32="","",Dateneingabe!K32&amp;" "&amp;Dateneingabe!L32))</f>
        <v>/ l</v>
      </c>
      <c r="K15" s="245">
        <f t="shared" si="9"/>
        <v>0.096</v>
      </c>
      <c r="L15" s="241">
        <f>IF($L$4="","",IF(F15="","",ROUND(F15*(1+$AF$47*Dateneingabe!$G$5),2)))</f>
      </c>
      <c r="M15" s="258">
        <f>IF($L$4="","",IF(Dateneingabe!J32="","",Dateneingabe!K32&amp;" "&amp;Dateneingabe!L32))</f>
      </c>
      <c r="N15" s="255">
        <f t="shared" si="1"/>
      </c>
      <c r="O15" s="213"/>
      <c r="P15" s="207"/>
      <c r="Q15" s="260"/>
      <c r="R15" s="248" t="str">
        <f t="shared" si="10"/>
        <v>Jogurt</v>
      </c>
      <c r="S15" s="248"/>
      <c r="T15" s="249" t="str">
        <f>IF($D15="","",$D15&amp;"   =   "&amp;B15&amp;" "&amp;Dateneingabe!C32&amp;"   x   "&amp;IF($E15&lt;&gt;"",$E15&amp;" g/St   x   ","")&amp;I15&amp;" €"&amp;Dateneingabe!K32&amp;Dateneingabe!L32&amp;IF($C15="","",IF(VLOOKUP($C15,Faktor,3,0)=0,"","   :   "&amp;VLOOKUP($C15,Faktor,3,0)))&amp;"   =   "&amp;FIXED(B15*IF($E15&lt;&gt;"",$E15/1,1)*I15/IF($C15="",1,IF(VLOOKUP($C15,Faktor,3,0)=0,1,VLOOKUP($C15,Faktor,3,0))),3)&amp;" €")</f>
        <v>Jogurt   =   0,05 l   x   1,92 €/l   :   1   =   0,096 €</v>
      </c>
      <c r="U15" s="249"/>
      <c r="V15" s="249"/>
      <c r="W15" s="249"/>
      <c r="X15" s="250"/>
      <c r="Y15" s="204"/>
      <c r="Z15" s="204"/>
      <c r="AA15" s="222"/>
      <c r="AB15" s="203"/>
      <c r="AC15" s="213"/>
      <c r="AD15" s="237">
        <f>IF(Dateneingabe!B32="","",Dateneingabe!B32)</f>
        <v>0.05</v>
      </c>
      <c r="AE15" s="256" t="str">
        <f>IF(Dateneingabe!C32="","",Dateneingabe!C32)</f>
        <v>l</v>
      </c>
      <c r="AF15" s="257" t="str">
        <f>IF(Dateneingabe!E32="","",Dateneingabe!E32)</f>
        <v>Jogurt</v>
      </c>
      <c r="AG15" s="240">
        <f>IF(Dateneingabe!G32="","",Dateneingabe!G32)</f>
      </c>
      <c r="AH15" s="241">
        <f>IF($AH$4="","",IF(Dateneingabe!J32="","",ROUND(Dateneingabe!J32,2)))</f>
        <v>1.8</v>
      </c>
      <c r="AI15" s="258" t="str">
        <f>IF($AH$4="","",IF(Dateneingabe!J32="","",Dateneingabe!K32&amp;" "&amp;Dateneingabe!L32))</f>
        <v>/ l</v>
      </c>
      <c r="AJ15" s="254">
        <f t="shared" si="2"/>
        <v>0.09000000000000001</v>
      </c>
      <c r="AK15" s="241">
        <f>IF($AK$4="","",IF(AH15="","",ROUND(AH15*(1+$AF$46*Dateneingabe!$G$5),2)))</f>
        <v>1.92</v>
      </c>
      <c r="AL15" s="259" t="str">
        <f>IF($AK$4="","",IF(Dateneingabe!J32="","",Dateneingabe!K32&amp;" "&amp;Dateneingabe!L32))</f>
        <v>/ l</v>
      </c>
      <c r="AM15" s="245">
        <f t="shared" si="3"/>
        <v>0.096</v>
      </c>
      <c r="AN15" s="241">
        <f>IF($AN$4="","",IF(AH15="","",ROUND(AH15*(1+$AF$47*Dateneingabe!$G$5),2)))</f>
      </c>
      <c r="AO15" s="258">
        <f>IF($AN$4="","",IF(Dateneingabe!J32="","",Dateneingabe!K32&amp;" "&amp;Dateneingabe!L32))</f>
      </c>
      <c r="AP15" s="255">
        <f t="shared" si="4"/>
      </c>
      <c r="AQ15" s="213"/>
      <c r="AR15" s="207"/>
      <c r="AS15" s="260"/>
      <c r="AT15" s="248" t="str">
        <f t="shared" si="5"/>
        <v>Jogurt</v>
      </c>
      <c r="AU15" s="248"/>
      <c r="AV15" s="249" t="str">
        <f>IF($D15="","",$D15&amp;"   =   "&amp;B15&amp;" "&amp;Dateneingabe!C32&amp;"   x   "&amp;IF($E15&lt;&gt;"",$E15&amp;" g/St   x   ","")&amp;I15&amp;" €"&amp;Dateneingabe!K32&amp;Dateneingabe!L32&amp;IF($C15="","",IF(VLOOKUP($C15,Faktor,3,0)=0,"","   :   "&amp;VLOOKUP($C15,Faktor,3,0)))&amp;"   =   "&amp;FIXED(B15*IF($E15&lt;&gt;"",$E15/1,1)*I15/IF($C15="",1,IF(VLOOKUP($C15,Faktor,3,0)=0,1,VLOOKUP($C15,Faktor,3,0))),3)&amp;" €")</f>
        <v>Jogurt   =   0,05 l   x   1,92 €/l   :   1   =   0,096 €</v>
      </c>
      <c r="AW15" s="249"/>
      <c r="AX15" s="249"/>
      <c r="AY15" s="249"/>
      <c r="AZ15" s="250"/>
      <c r="BA15" s="204"/>
      <c r="BB15" s="204"/>
      <c r="BC15" s="213"/>
      <c r="BD15" s="237">
        <f>IF(Dateneingabe!B58="","",Dateneingabe!B58)</f>
      </c>
      <c r="BE15" s="256">
        <f>IF(Dateneingabe!C58="","",Dateneingabe!C58)</f>
      </c>
      <c r="BF15" s="257">
        <f>IF(Dateneingabe!E58="","",Dateneingabe!E58)</f>
      </c>
      <c r="BG15" s="240">
        <f>IF(Dateneingabe!G58="","",Dateneingabe!G58)</f>
      </c>
      <c r="BH15" s="241">
        <f>IF($AH$4="","",IF(Dateneingabe!J58="","",ROUND(Dateneingabe!J58,2)))</f>
      </c>
      <c r="BI15" s="242">
        <f>IF($AH$4="","",IF(Dateneingabe!J58="","",Dateneingabe!K58&amp;" "&amp;Dateneingabe!L58))</f>
      </c>
      <c r="BJ15" s="243">
        <f t="shared" si="6"/>
      </c>
      <c r="BK15" s="241">
        <f>IF($AK$4="","",IF(BH15="","",ROUND(BH15*(1+$AF$46*Dateneingabe!$G$5),2)))</f>
      </c>
      <c r="BL15" s="244">
        <f>IF($AK$4="","",IF(Dateneingabe!J58="","",Dateneingabe!K58&amp;" "&amp;Dateneingabe!L58))</f>
      </c>
      <c r="BM15" s="245">
        <f t="shared" si="7"/>
      </c>
      <c r="BN15" s="241">
        <f>IF($AN$4="","",IF(BH15="","",ROUND(BH15*(1+$AF$47*Dateneingabe!$G$5),2)))</f>
      </c>
      <c r="BO15" s="242">
        <f>IF($AN$4="","",IF(Dateneingabe!J58="","",Dateneingabe!K58&amp;" "&amp;Dateneingabe!L58))</f>
      </c>
      <c r="BP15" s="246">
        <f t="shared" si="8"/>
      </c>
      <c r="BQ15" s="213"/>
      <c r="BR15" s="207"/>
      <c r="BS15" s="260"/>
      <c r="BT15" s="248">
        <f t="shared" si="11"/>
      </c>
      <c r="BU15" s="248"/>
      <c r="BV15" s="249">
        <f>IF($D37="","",$D37&amp;"   =   "&amp;B37&amp;" "&amp;Dateneingabe!C54&amp;"   x   "&amp;IF($E37&lt;&gt;"",$E37&amp;" g/St   x   ","")&amp;I37&amp;" €"&amp;Dateneingabe!K54&amp;Dateneingabe!L54&amp;IF($C37="","",IF(VLOOKUP($C37,Faktor,3,0)=0,"","   :   "&amp;VLOOKUP($C37,Faktor,3,0)))&amp;"   =   "&amp;FIXED(B37*IF($E37&lt;&gt;"",$E37/1,1)*I37/IF($C37="",1,IF(VLOOKUP($C37,Faktor,3,0)=0,1,VLOOKUP($C37,Faktor,3,0))),3)&amp;" €")</f>
      </c>
      <c r="BW15" s="249"/>
      <c r="BX15" s="249"/>
      <c r="BY15" s="249"/>
      <c r="BZ15" s="250"/>
      <c r="CA15" s="204"/>
      <c r="CB15" s="204"/>
    </row>
    <row r="16" spans="1:80" ht="16.5" customHeight="1" thickBot="1">
      <c r="A16" s="213"/>
      <c r="B16" s="237">
        <f>IF(Dateneingabe!B34="","",Dateneingabe!B34)</f>
        <v>1</v>
      </c>
      <c r="C16" s="256">
        <f>IF(Dateneingabe!C34="","",Dateneingabe!C34)</f>
      </c>
      <c r="D16" s="257" t="str">
        <f>IF(Dateneingabe!E34="","",Dateneingabe!E34)</f>
        <v>Gewürze (Salz, Pfeffer, Senf)</v>
      </c>
      <c r="E16" s="240">
        <f>IF(Dateneingabe!G34="","",Dateneingabe!G34)</f>
      </c>
      <c r="F16" s="241">
        <f>IF($F$4="","",IF(Dateneingabe!J34="","",ROUND(Dateneingabe!J34,2)))</f>
        <v>0.09</v>
      </c>
      <c r="G16" s="258" t="str">
        <f>IF($F$4="","",IF(Dateneingabe!J34="","",Dateneingabe!K34&amp;" "&amp;Dateneingabe!L34))</f>
        <v> </v>
      </c>
      <c r="H16" s="254">
        <f t="shared" si="0"/>
        <v>0.09</v>
      </c>
      <c r="I16" s="241">
        <f>IF($I$4="","",IF(F16="","",ROUND(F16*(1+$AF$46*Dateneingabe!$G$5),2)))</f>
        <v>0.1</v>
      </c>
      <c r="J16" s="259" t="str">
        <f>IF($I$4="","",IF(Dateneingabe!J34="","",Dateneingabe!K34&amp;" "&amp;Dateneingabe!L34))</f>
        <v> </v>
      </c>
      <c r="K16" s="245">
        <f t="shared" si="9"/>
        <v>0.1</v>
      </c>
      <c r="L16" s="241">
        <f>IF($L$4="","",IF(F16="","",ROUND(F16*(1+$AF$47*Dateneingabe!$G$5),2)))</f>
      </c>
      <c r="M16" s="258">
        <f>IF($L$4="","",IF(Dateneingabe!J34="","",Dateneingabe!K34&amp;" "&amp;Dateneingabe!L34))</f>
      </c>
      <c r="N16" s="255">
        <f t="shared" si="1"/>
      </c>
      <c r="O16" s="213"/>
      <c r="P16" s="207"/>
      <c r="Q16" s="260"/>
      <c r="R16" s="248" t="str">
        <f t="shared" si="10"/>
        <v>Gewürze (Salz, Pfeffer, Senf)</v>
      </c>
      <c r="S16" s="248"/>
      <c r="T16" s="249" t="str">
        <f>IF($D16="","",$D16&amp;"   =   "&amp;B16&amp;" "&amp;Dateneingabe!C34&amp;"   x   "&amp;IF($E16&lt;&gt;"",$E16&amp;" g/St   x   ","")&amp;I16&amp;" €"&amp;Dateneingabe!K34&amp;Dateneingabe!L34&amp;IF($C16="","",IF(VLOOKUP($C16,Faktor,3,0)=0,"","   :   "&amp;VLOOKUP($C16,Faktor,3,0)))&amp;"   =   "&amp;FIXED(B16*IF($E16&lt;&gt;"",$E16/1,1)*I16/IF($C16="",1,IF(VLOOKUP($C16,Faktor,3,0)=0,1,VLOOKUP($C16,Faktor,3,0))),3)&amp;" €")</f>
        <v>Gewürze (Salz, Pfeffer, Senf)   =   1    x   0,1 €   =   0,100 €</v>
      </c>
      <c r="U16" s="249"/>
      <c r="V16" s="249"/>
      <c r="W16" s="249"/>
      <c r="X16" s="250"/>
      <c r="Y16" s="204"/>
      <c r="Z16" s="204"/>
      <c r="AA16" s="230"/>
      <c r="AB16" s="203"/>
      <c r="AC16" s="213"/>
      <c r="AD16" s="237">
        <f>IF(Dateneingabe!B34="","",Dateneingabe!B34)</f>
        <v>1</v>
      </c>
      <c r="AE16" s="256">
        <f>IF(Dateneingabe!C34="","",Dateneingabe!C34)</f>
      </c>
      <c r="AF16" s="257" t="str">
        <f>IF(Dateneingabe!E34="","",Dateneingabe!E34)</f>
        <v>Gewürze (Salz, Pfeffer, Senf)</v>
      </c>
      <c r="AG16" s="240">
        <f>IF(Dateneingabe!G34="","",Dateneingabe!G34)</f>
      </c>
      <c r="AH16" s="241">
        <f>IF($AH$4="","",IF(Dateneingabe!J34="","",ROUND(Dateneingabe!J34,2)))</f>
        <v>0.09</v>
      </c>
      <c r="AI16" s="258" t="str">
        <f>IF($AH$4="","",IF(Dateneingabe!J34="","",Dateneingabe!K34&amp;" "&amp;Dateneingabe!L34))</f>
        <v> </v>
      </c>
      <c r="AJ16" s="254">
        <f>IF(OR(AH$4="",AH16="",$AD16=""),"",IF($AG16&lt;&gt;"",$AD16*$AG16/1000*AH16,$AD16/IF($AE16="",1,VLOOKUP($AE16,Faktor,3,0))*AH16))</f>
        <v>0.09</v>
      </c>
      <c r="AK16" s="241">
        <f>IF($AK$4="","",IF(AH16="","",ROUND(AH16*(1+$AF$46*Dateneingabe!$G$5),2)))</f>
        <v>0.1</v>
      </c>
      <c r="AL16" s="259" t="str">
        <f>IF($AK$4="","",IF(Dateneingabe!J34="","",Dateneingabe!K34&amp;" "&amp;Dateneingabe!L34))</f>
        <v> </v>
      </c>
      <c r="AM16" s="245">
        <f t="shared" si="3"/>
        <v>0.1</v>
      </c>
      <c r="AN16" s="241">
        <f>IF($AN$4="","",IF(AH16="","",ROUND(AH16*(1+$AF$47*Dateneingabe!$G$5),2)))</f>
      </c>
      <c r="AO16" s="258">
        <f>IF($AN$4="","",IF(Dateneingabe!J34="","",Dateneingabe!K34&amp;" "&amp;Dateneingabe!L34))</f>
      </c>
      <c r="AP16" s="255">
        <f t="shared" si="4"/>
      </c>
      <c r="AQ16" s="213"/>
      <c r="AR16" s="207"/>
      <c r="AS16" s="260"/>
      <c r="AT16" s="248" t="str">
        <f t="shared" si="5"/>
        <v>Gewürze (Salz, Pfeffer, Senf)</v>
      </c>
      <c r="AU16" s="248"/>
      <c r="AV16" s="249" t="str">
        <f>IF($D16="","",$D16&amp;"   =   "&amp;B16&amp;" "&amp;Dateneingabe!C34&amp;"   x   "&amp;IF($E16&lt;&gt;"",$E16&amp;" g/St   x   ","")&amp;I16&amp;" €"&amp;Dateneingabe!K34&amp;Dateneingabe!L34&amp;IF($C16="","",IF(VLOOKUP($C16,Faktor,3,0)=0,"","   :   "&amp;VLOOKUP($C16,Faktor,3,0)))&amp;"   =   "&amp;FIXED(B16*IF($E16&lt;&gt;"",$E16/1,1)*I16/IF($C16="",1,IF(VLOOKUP($C16,Faktor,3,0)=0,1,VLOOKUP($C16,Faktor,3,0))),3)&amp;" €")</f>
        <v>Gewürze (Salz, Pfeffer, Senf)   =   1    x   0,1 €   =   0,100 €</v>
      </c>
      <c r="AW16" s="249"/>
      <c r="AX16" s="249"/>
      <c r="AY16" s="249"/>
      <c r="AZ16" s="250"/>
      <c r="BA16" s="204"/>
      <c r="BB16" s="204"/>
      <c r="BC16" s="213"/>
      <c r="BD16" s="237">
        <f>IF(Dateneingabe!B60="","",Dateneingabe!B60)</f>
      </c>
      <c r="BE16" s="256">
        <f>IF(Dateneingabe!C60="","",Dateneingabe!C60)</f>
      </c>
      <c r="BF16" s="257">
        <f>IF(Dateneingabe!E60="","",Dateneingabe!E60)</f>
      </c>
      <c r="BG16" s="240">
        <f>IF(Dateneingabe!G60="","",Dateneingabe!G60)</f>
      </c>
      <c r="BH16" s="241">
        <f>IF($AH$4="","",IF(Dateneingabe!J60="","",ROUND(Dateneingabe!J60,2)))</f>
      </c>
      <c r="BI16" s="242">
        <f>IF($AH$4="","",IF(Dateneingabe!J60="","",Dateneingabe!K60&amp;" "&amp;Dateneingabe!L60))</f>
      </c>
      <c r="BJ16" s="243">
        <f t="shared" si="6"/>
      </c>
      <c r="BK16" s="241">
        <f>IF($AK$4="","",IF(BH16="","",ROUND(BH16*(1+$AF$46*Dateneingabe!$G$5),2)))</f>
      </c>
      <c r="BL16" s="244">
        <f>IF($AK$4="","",IF(Dateneingabe!J60="","",Dateneingabe!K60&amp;" "&amp;Dateneingabe!L60))</f>
      </c>
      <c r="BM16" s="245">
        <f t="shared" si="7"/>
      </c>
      <c r="BN16" s="241">
        <f>IF($AN$4="","",IF(BH16="","",ROUND(BH16*(1+$AF$47*Dateneingabe!$G$5),2)))</f>
      </c>
      <c r="BO16" s="242">
        <f>IF($AN$4="","",IF(Dateneingabe!J60="","",Dateneingabe!K60&amp;" "&amp;Dateneingabe!L60))</f>
      </c>
      <c r="BP16" s="246">
        <f t="shared" si="8"/>
      </c>
      <c r="BQ16" s="213"/>
      <c r="BR16" s="207"/>
      <c r="BS16" s="260"/>
      <c r="BT16" s="248">
        <f t="shared" si="11"/>
      </c>
      <c r="BU16" s="248"/>
      <c r="BV16" s="249">
        <f>IF($D38="","",$D38&amp;"   =   "&amp;B38&amp;" "&amp;Dateneingabe!C56&amp;"   x   "&amp;IF($E38&lt;&gt;"",$E38&amp;" g/St   x   ","")&amp;I38&amp;" €"&amp;Dateneingabe!K56&amp;Dateneingabe!L56&amp;IF($C38="","",IF(VLOOKUP($C38,Faktor,3,0)=0,"","   :   "&amp;VLOOKUP($C38,Faktor,3,0)))&amp;"   =   "&amp;FIXED(B38*IF($E38&lt;&gt;"",$E38/1,1)*I38/IF($C38="",1,IF(VLOOKUP($C38,Faktor,3,0)=0,1,VLOOKUP($C38,Faktor,3,0))),3)&amp;" €")</f>
      </c>
      <c r="BW16" s="249"/>
      <c r="BX16" s="249"/>
      <c r="BY16" s="249"/>
      <c r="BZ16" s="250"/>
      <c r="CA16" s="204"/>
      <c r="CB16" s="204"/>
    </row>
    <row r="17" spans="1:80" ht="16.5" customHeight="1" thickBot="1">
      <c r="A17" s="213"/>
      <c r="B17" s="237">
        <f>IF(Dateneingabe!B36="","",Dateneingabe!B36)</f>
      </c>
      <c r="C17" s="256">
        <f>IF(Dateneingabe!C36="","",Dateneingabe!C36)</f>
      </c>
      <c r="D17" s="257">
        <f>IF(Dateneingabe!E36="","",Dateneingabe!E36)</f>
      </c>
      <c r="E17" s="240">
        <f>IF(Dateneingabe!G36="","",Dateneingabe!G36)</f>
      </c>
      <c r="F17" s="241">
        <f>IF($F$4="","",IF(Dateneingabe!J36="","",ROUND(Dateneingabe!J36,2)))</f>
      </c>
      <c r="G17" s="258">
        <f>IF($F$4="","",IF(Dateneingabe!J36="","",Dateneingabe!K36&amp;" "&amp;Dateneingabe!L36))</f>
      </c>
      <c r="H17" s="254">
        <f t="shared" si="0"/>
      </c>
      <c r="I17" s="241">
        <f>IF($I$4="","",IF(F17="","",ROUND(F17*(1+$AF$46*Dateneingabe!$G$5),2)))</f>
      </c>
      <c r="J17" s="259">
        <f>IF($I$4="","",IF(Dateneingabe!J36="","",Dateneingabe!K36&amp;" "&amp;Dateneingabe!L36))</f>
      </c>
      <c r="K17" s="245">
        <f t="shared" si="9"/>
      </c>
      <c r="L17" s="241">
        <f>IF($L$4="","",IF(F17="","",ROUND(F17*(1+$AF$47*Dateneingabe!$G$5),2)))</f>
      </c>
      <c r="M17" s="258">
        <f>IF($L$4="","",IF(Dateneingabe!J36="","",Dateneingabe!K36&amp;" "&amp;Dateneingabe!L36))</f>
      </c>
      <c r="N17" s="255">
        <f t="shared" si="1"/>
      </c>
      <c r="O17" s="213"/>
      <c r="P17" s="207"/>
      <c r="Q17" s="260"/>
      <c r="R17" s="248">
        <f t="shared" si="10"/>
      </c>
      <c r="S17" s="248"/>
      <c r="T17" s="249">
        <f>IF($D17="","",$D17&amp;"   =   "&amp;B17&amp;" "&amp;Dateneingabe!C36&amp;"   x   "&amp;IF($E17&lt;&gt;"",$E17&amp;" g/St   x   ","")&amp;I17&amp;" €"&amp;Dateneingabe!K36&amp;Dateneingabe!L36&amp;IF($C17="","",IF(VLOOKUP($C17,Faktor,3,0)=0,"","   :   "&amp;VLOOKUP($C17,Faktor,3,0)))&amp;"   =   "&amp;FIXED(B17*IF($E17&lt;&gt;"",$E17/1,1)*I17/IF($C17="",1,IF(VLOOKUP($C17,Faktor,3,0)=0,1,VLOOKUP($C17,Faktor,3,0))),3)&amp;" €")</f>
      </c>
      <c r="U17" s="249"/>
      <c r="V17" s="249"/>
      <c r="W17" s="249"/>
      <c r="X17" s="250"/>
      <c r="Y17" s="204"/>
      <c r="Z17" s="204"/>
      <c r="AA17" s="222"/>
      <c r="AB17" s="203"/>
      <c r="AC17" s="213"/>
      <c r="AD17" s="237">
        <f>IF(Dateneingabe!B36="","",Dateneingabe!B36)</f>
      </c>
      <c r="AE17" s="256">
        <f>IF(Dateneingabe!C36="","",Dateneingabe!C36)</f>
      </c>
      <c r="AF17" s="257">
        <f>IF(Dateneingabe!E36="","",Dateneingabe!E36)</f>
      </c>
      <c r="AG17" s="240">
        <f>IF(Dateneingabe!G36="","",Dateneingabe!G36)</f>
      </c>
      <c r="AH17" s="241">
        <f>IF($AH$4="","",IF(Dateneingabe!J36="","",ROUND(Dateneingabe!J36,2)))</f>
      </c>
      <c r="AI17" s="258">
        <f>IF($AH$4="","",IF(Dateneingabe!J36="","",Dateneingabe!K36&amp;" "&amp;Dateneingabe!L36))</f>
      </c>
      <c r="AJ17" s="254">
        <f t="shared" si="2"/>
      </c>
      <c r="AK17" s="241">
        <f>IF($AK$4="","",IF(AH17="","",ROUND(AH17*(1+$AF$46*Dateneingabe!$G$5),2)))</f>
      </c>
      <c r="AL17" s="259">
        <f>IF($AK$4="","",IF(Dateneingabe!J36="","",Dateneingabe!K36&amp;" "&amp;Dateneingabe!L36))</f>
      </c>
      <c r="AM17" s="245">
        <f t="shared" si="3"/>
      </c>
      <c r="AN17" s="241">
        <f>IF($AN$4="","",IF(AH17="","",ROUND(AH17*(1+$AF$47*Dateneingabe!$G$5),2)))</f>
      </c>
      <c r="AO17" s="258">
        <f>IF($AN$4="","",IF(Dateneingabe!J36="","",Dateneingabe!K36&amp;" "&amp;Dateneingabe!L36))</f>
      </c>
      <c r="AP17" s="255">
        <f t="shared" si="4"/>
      </c>
      <c r="AQ17" s="213"/>
      <c r="AR17" s="207"/>
      <c r="AS17" s="260"/>
      <c r="AT17" s="248">
        <f t="shared" si="5"/>
      </c>
      <c r="AU17" s="248"/>
      <c r="AV17" s="249">
        <f>IF($D17="","",$D17&amp;"   =   "&amp;B17&amp;" "&amp;Dateneingabe!C36&amp;"   x   "&amp;IF($E17&lt;&gt;"",$E17&amp;" g/St   x   ","")&amp;I17&amp;" €"&amp;Dateneingabe!K36&amp;Dateneingabe!L36&amp;IF($C17="","",IF(VLOOKUP($C17,Faktor,3,0)=0,"","   :   "&amp;VLOOKUP($C17,Faktor,3,0)))&amp;"   =   "&amp;FIXED(B17*IF($E17&lt;&gt;"",$E17/1,1)*I17/IF($C17="",1,IF(VLOOKUP($C17,Faktor,3,0)=0,1,VLOOKUP($C17,Faktor,3,0))),3)&amp;" €")</f>
      </c>
      <c r="AW17" s="249"/>
      <c r="AX17" s="249"/>
      <c r="AY17" s="249"/>
      <c r="AZ17" s="250"/>
      <c r="BA17" s="204"/>
      <c r="BB17" s="204"/>
      <c r="BC17" s="213"/>
      <c r="BD17" s="237">
        <f>IF(Dateneingabe!B62="","",Dateneingabe!B62)</f>
      </c>
      <c r="BE17" s="256">
        <f>IF(Dateneingabe!C62="","",Dateneingabe!C62)</f>
      </c>
      <c r="BF17" s="257">
        <f>IF(Dateneingabe!E62="","",Dateneingabe!E62)</f>
      </c>
      <c r="BG17" s="240">
        <f>IF(Dateneingabe!G62="","",Dateneingabe!G62)</f>
      </c>
      <c r="BH17" s="241">
        <f>IF($AH$4="","",IF(Dateneingabe!J62="","",ROUND(Dateneingabe!J62,2)))</f>
      </c>
      <c r="BI17" s="242">
        <f>IF($AH$4="","",IF(Dateneingabe!J62="","",Dateneingabe!K62&amp;" "&amp;Dateneingabe!L62))</f>
      </c>
      <c r="BJ17" s="243">
        <f t="shared" si="6"/>
      </c>
      <c r="BK17" s="241">
        <f>IF($AK$4="","",IF(BH17="","",ROUND(BH17*(1+$AF$46*Dateneingabe!$G$5),2)))</f>
      </c>
      <c r="BL17" s="244">
        <f>IF($AK$4="","",IF(Dateneingabe!J62="","",Dateneingabe!K62&amp;" "&amp;Dateneingabe!L62))</f>
      </c>
      <c r="BM17" s="245">
        <f t="shared" si="7"/>
      </c>
      <c r="BN17" s="241">
        <f>IF($AN$4="","",IF(BH17="","",ROUND(BH17*(1+$AF$47*Dateneingabe!$G$5),2)))</f>
      </c>
      <c r="BO17" s="242">
        <f>IF($AN$4="","",IF(Dateneingabe!J62="","",Dateneingabe!K62&amp;" "&amp;Dateneingabe!L62))</f>
      </c>
      <c r="BP17" s="246">
        <f t="shared" si="8"/>
      </c>
      <c r="BQ17" s="213"/>
      <c r="BR17" s="207"/>
      <c r="BS17" s="260"/>
      <c r="BT17" s="248">
        <f t="shared" si="11"/>
      </c>
      <c r="BU17" s="248"/>
      <c r="BV17" s="249">
        <f>IF($D39="","",$D39&amp;"   =   "&amp;B39&amp;" "&amp;Dateneingabe!C58&amp;"   x   "&amp;IF($E39&lt;&gt;"",$E39&amp;" g/St   x   ","")&amp;I39&amp;" €"&amp;Dateneingabe!K58&amp;Dateneingabe!L58&amp;IF($C39="","",IF(VLOOKUP($C39,Faktor,3,0)=0,"","   :   "&amp;VLOOKUP($C39,Faktor,3,0)))&amp;"   =   "&amp;FIXED(B39*IF($E39&lt;&gt;"",$E39/1,1)*I39/IF($C39="",1,IF(VLOOKUP($C39,Faktor,3,0)=0,1,VLOOKUP($C39,Faktor,3,0))),3)&amp;" €")</f>
      </c>
      <c r="BW17" s="249"/>
      <c r="BX17" s="249"/>
      <c r="BY17" s="249"/>
      <c r="BZ17" s="250"/>
      <c r="CA17" s="204"/>
      <c r="CB17" s="204"/>
    </row>
    <row r="18" spans="1:80" ht="16.5" customHeight="1" thickBot="1">
      <c r="A18" s="213"/>
      <c r="B18" s="237">
        <f>IF(Dateneingabe!B38="","",Dateneingabe!B38)</f>
      </c>
      <c r="C18" s="256">
        <f>IF(Dateneingabe!C38="","",Dateneingabe!C38)</f>
      </c>
      <c r="D18" s="257">
        <f>IF(Dateneingabe!E38="","",Dateneingabe!E38)</f>
      </c>
      <c r="E18" s="240">
        <f>IF(Dateneingabe!G38="","",Dateneingabe!G38)</f>
      </c>
      <c r="F18" s="241">
        <f>IF($F$4="","",IF(Dateneingabe!J38="","",ROUND(Dateneingabe!J38,2)))</f>
      </c>
      <c r="G18" s="258">
        <f>IF($F$4="","",IF(Dateneingabe!J38="","",Dateneingabe!K38&amp;" "&amp;Dateneingabe!L38))</f>
      </c>
      <c r="H18" s="254">
        <f t="shared" si="0"/>
      </c>
      <c r="I18" s="241">
        <f>IF($I$4="","",IF(F18="","",ROUND(F18*(1+$AF$46*Dateneingabe!$G$5),2)))</f>
      </c>
      <c r="J18" s="259">
        <f>IF($I$4="","",IF(Dateneingabe!J38="","",Dateneingabe!K38&amp;" "&amp;Dateneingabe!L38))</f>
      </c>
      <c r="K18" s="412">
        <f t="shared" si="9"/>
      </c>
      <c r="L18" s="241">
        <f>IF($L$4="","",IF(F18="","",ROUND(F18*(1+$AF$47*Dateneingabe!$G$5),2)))</f>
      </c>
      <c r="M18" s="258">
        <f>IF($L$4="","",IF(Dateneingabe!J38="","",Dateneingabe!K38&amp;" "&amp;Dateneingabe!L38))</f>
      </c>
      <c r="N18" s="255">
        <f t="shared" si="1"/>
      </c>
      <c r="O18" s="213"/>
      <c r="P18" s="207"/>
      <c r="Q18" s="262"/>
      <c r="R18" s="263">
        <f t="shared" si="10"/>
      </c>
      <c r="S18" s="263"/>
      <c r="T18" s="264">
        <f>IF($D18="","",$D18&amp;"   =   "&amp;B18&amp;" "&amp;Dateneingabe!C38&amp;"   x   "&amp;IF($E18&lt;&gt;"",$E18&amp;" g/St   x   ","")&amp;I18&amp;" €"&amp;Dateneingabe!K38&amp;Dateneingabe!L38&amp;IF($C18="","",IF(VLOOKUP($C18,Faktor,3,0)=0,"","   :   "&amp;VLOOKUP($C18,Faktor,3,0)))&amp;"   =   "&amp;FIXED(B18*IF($E18&lt;&gt;"",$E18/1,1)*I18/IF($C18="",1,IF(VLOOKUP($C18,Faktor,3,0)=0,1,VLOOKUP($C18,Faktor,3,0))),3)&amp;" €")</f>
      </c>
      <c r="U18" s="264"/>
      <c r="V18" s="264"/>
      <c r="W18" s="264"/>
      <c r="X18" s="265"/>
      <c r="Y18" s="204"/>
      <c r="Z18" s="204"/>
      <c r="AA18" s="230"/>
      <c r="AB18" s="203"/>
      <c r="AC18" s="213"/>
      <c r="AD18" s="237">
        <f>IF(Dateneingabe!B38="","",Dateneingabe!B38)</f>
      </c>
      <c r="AE18" s="256">
        <f>IF(Dateneingabe!C38="","",Dateneingabe!C38)</f>
      </c>
      <c r="AF18" s="257">
        <f>IF(Dateneingabe!E38="","",Dateneingabe!E38)</f>
      </c>
      <c r="AG18" s="240">
        <f>IF(Dateneingabe!G38="","",Dateneingabe!G38)</f>
      </c>
      <c r="AH18" s="241">
        <f>IF($AH$4="","",IF(Dateneingabe!J38="","",ROUND(Dateneingabe!J38,2)))</f>
      </c>
      <c r="AI18" s="258">
        <f>IF($AH$4="","",IF(Dateneingabe!J38="","",Dateneingabe!K38&amp;" "&amp;Dateneingabe!L38))</f>
      </c>
      <c r="AJ18" s="254">
        <f t="shared" si="2"/>
      </c>
      <c r="AK18" s="241">
        <f>IF($AK$4="","",IF(AH18="","",ROUND(AH18*(1+$AF$46*Dateneingabe!$G$5),2)))</f>
      </c>
      <c r="AL18" s="259">
        <f>IF($AK$4="","",IF(Dateneingabe!J38="","",Dateneingabe!K38&amp;" "&amp;Dateneingabe!L38))</f>
      </c>
      <c r="AM18" s="412">
        <f t="shared" si="3"/>
      </c>
      <c r="AN18" s="241">
        <f>IF($AN$4="","",IF(AH18="","",ROUND(AH18*(1+$AF$47*Dateneingabe!$G$5),2)))</f>
      </c>
      <c r="AO18" s="258">
        <f>IF($AN$4="","",IF(Dateneingabe!J38="","",Dateneingabe!K38&amp;" "&amp;Dateneingabe!L38))</f>
      </c>
      <c r="AP18" s="255">
        <f t="shared" si="4"/>
      </c>
      <c r="AQ18" s="213"/>
      <c r="AR18" s="207"/>
      <c r="AS18" s="262"/>
      <c r="AT18" s="263">
        <f t="shared" si="5"/>
      </c>
      <c r="AU18" s="263"/>
      <c r="AV18" s="264">
        <f>IF($D18="","",$D18&amp;"   =   "&amp;B18&amp;" "&amp;Dateneingabe!C38&amp;"   x   "&amp;IF($E18&lt;&gt;"",$E18&amp;" g/St   x   ","")&amp;I18&amp;" €"&amp;Dateneingabe!K38&amp;Dateneingabe!L38&amp;IF($C18="","",IF(VLOOKUP($C18,Faktor,3,0)=0,"","   :   "&amp;VLOOKUP($C18,Faktor,3,0)))&amp;"   =   "&amp;FIXED(B18*IF($E18&lt;&gt;"",$E18/1,1)*I18/IF($C18="",1,IF(VLOOKUP($C18,Faktor,3,0)=0,1,VLOOKUP($C18,Faktor,3,0))),3)&amp;" €")</f>
      </c>
      <c r="AW18" s="264"/>
      <c r="AX18" s="264"/>
      <c r="AY18" s="264"/>
      <c r="AZ18" s="265"/>
      <c r="BA18" s="204"/>
      <c r="BB18" s="204"/>
      <c r="BC18" s="213"/>
      <c r="BD18" s="266"/>
      <c r="BE18" s="267"/>
      <c r="BF18" s="266" t="s">
        <v>44</v>
      </c>
      <c r="BG18" s="268"/>
      <c r="BH18" s="380"/>
      <c r="BI18" s="381"/>
      <c r="BJ18" s="269">
        <f>IF(SUM(BJ7:BJ17,AJ19)=0,"",SUM(BJ7:BJ17,AJ19))</f>
        <v>0.9537999999999999</v>
      </c>
      <c r="BK18" s="380"/>
      <c r="BL18" s="382"/>
      <c r="BM18" s="270">
        <f>IF(SUM(BM7:BM17,AM19)=0,"",SUM(BM7:BM17,AM19))</f>
        <v>1.0228</v>
      </c>
      <c r="BN18" s="383"/>
      <c r="BO18" s="381"/>
      <c r="BP18" s="271">
        <f>IF(SUM(BP7:BP17,AP19)=0,"",SUM(BP7:BP17,AP19))</f>
      </c>
      <c r="BQ18" s="213"/>
      <c r="BR18" s="207"/>
      <c r="BS18" s="260"/>
      <c r="BT18" s="248">
        <f t="shared" si="11"/>
      </c>
      <c r="BU18" s="248"/>
      <c r="BV18" s="249">
        <f>IF($D40="","",$D40&amp;"   =   "&amp;B40&amp;" "&amp;Dateneingabe!C60&amp;"   x   "&amp;IF($E40&lt;&gt;"",$E40&amp;" g/St   x   ","")&amp;I40&amp;" €"&amp;Dateneingabe!K60&amp;Dateneingabe!L60&amp;IF($C40="","",IF(VLOOKUP($C40,Faktor,3,0)=0,"","   :   "&amp;VLOOKUP($C40,Faktor,3,0)))&amp;"   =   "&amp;FIXED(B40*IF($E40&lt;&gt;"",$E40/1,1)*I40/IF($C40="",1,IF(VLOOKUP($C40,Faktor,3,0)=0,1,VLOOKUP($C40,Faktor,3,0))),3)&amp;" €")</f>
      </c>
      <c r="BW18" s="249"/>
      <c r="BX18" s="249"/>
      <c r="BY18" s="249"/>
      <c r="BZ18" s="250"/>
      <c r="CA18" s="204"/>
      <c r="CB18" s="204"/>
    </row>
    <row r="19" spans="1:80" ht="16.5" customHeight="1" thickBot="1">
      <c r="A19" s="213"/>
      <c r="B19" s="272"/>
      <c r="C19" s="273"/>
      <c r="D19" s="274" t="s">
        <v>43</v>
      </c>
      <c r="E19" s="275"/>
      <c r="F19" s="385"/>
      <c r="G19" s="386"/>
      <c r="H19" s="276">
        <f>IF(SUM(H7:H18)=0,"",SUM(H7:H18))</f>
        <v>0.9537999999999999</v>
      </c>
      <c r="I19" s="385"/>
      <c r="J19" s="387"/>
      <c r="K19" s="277">
        <f>IF(SUM(K7:K18)=0,"",SUM(K7:K18))</f>
        <v>1.0228</v>
      </c>
      <c r="L19" s="388"/>
      <c r="M19" s="386"/>
      <c r="N19" s="278">
        <f>IF(SUM(N7:N18)=0,"",SUM(N7:N18))</f>
      </c>
      <c r="O19" s="213"/>
      <c r="P19" s="207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22"/>
      <c r="AB19" s="203"/>
      <c r="AC19" s="213"/>
      <c r="AD19" s="272"/>
      <c r="AE19" s="273"/>
      <c r="AF19" s="274" t="s">
        <v>43</v>
      </c>
      <c r="AG19" s="275"/>
      <c r="AH19" s="385"/>
      <c r="AI19" s="386"/>
      <c r="AJ19" s="276">
        <f>IF(SUM(AJ7:AJ18)=0,"",SUM(AJ7:AJ18))</f>
        <v>0.9537999999999999</v>
      </c>
      <c r="AK19" s="385"/>
      <c r="AL19" s="387"/>
      <c r="AM19" s="277">
        <f>IF(SUM(AM7:AM18)=0,"",SUM(AM7:AM18))</f>
        <v>1.0228</v>
      </c>
      <c r="AN19" s="388"/>
      <c r="AO19" s="386"/>
      <c r="AP19" s="278">
        <f>IF(SUM(AP7:AP18)=0,"",SUM(AP7:AP18))</f>
      </c>
      <c r="AQ19" s="213"/>
      <c r="AR19" s="207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13"/>
      <c r="BD19" s="213"/>
      <c r="BE19" s="279" t="s">
        <v>76</v>
      </c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07"/>
      <c r="BS19" s="262"/>
      <c r="BT19" s="263">
        <f t="shared" si="11"/>
      </c>
      <c r="BU19" s="263"/>
      <c r="BV19" s="264">
        <f>IF($D41="","",$D41&amp;"   =   "&amp;B41&amp;" "&amp;Dateneingabe!C62&amp;"   x   "&amp;IF($E41&lt;&gt;"",$E41&amp;" g/St   x   ","")&amp;I41&amp;" €"&amp;Dateneingabe!K62&amp;Dateneingabe!L62&amp;IF($C41="","",IF(VLOOKUP($C41,Faktor,3,0)=0,"","   :   "&amp;VLOOKUP($C41,Faktor,3,0)))&amp;"   =   "&amp;FIXED(B41*IF($E41&lt;&gt;"",$E41/1,1)*I41/IF($C41="",1,IF(VLOOKUP($C41,Faktor,3,0)=0,1,VLOOKUP($C41,Faktor,3,0))),3)&amp;" €")</f>
      </c>
      <c r="BW19" s="264"/>
      <c r="BX19" s="264"/>
      <c r="BY19" s="264"/>
      <c r="BZ19" s="265"/>
      <c r="CA19" s="204"/>
      <c r="CB19" s="204"/>
    </row>
    <row r="20" spans="1:80" ht="16.5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7"/>
      <c r="Q20" s="219" t="s">
        <v>43</v>
      </c>
      <c r="R20" s="220"/>
      <c r="S20" s="220"/>
      <c r="T20" s="220"/>
      <c r="U20" s="220"/>
      <c r="V20" s="220"/>
      <c r="W20" s="220"/>
      <c r="X20" s="221"/>
      <c r="Y20" s="204"/>
      <c r="Z20" s="204"/>
      <c r="AA20" s="230"/>
      <c r="AB20" s="203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7"/>
      <c r="AS20" s="219" t="s">
        <v>43</v>
      </c>
      <c r="AT20" s="220"/>
      <c r="AU20" s="220"/>
      <c r="AV20" s="220"/>
      <c r="AW20" s="220"/>
      <c r="AX20" s="220"/>
      <c r="AY20" s="220"/>
      <c r="AZ20" s="221"/>
      <c r="BA20" s="204"/>
      <c r="BB20" s="204"/>
      <c r="BC20" s="213"/>
      <c r="BD20" s="213"/>
      <c r="BE20" s="279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07"/>
      <c r="BS20" s="280"/>
      <c r="BT20" s="280"/>
      <c r="BU20" s="280"/>
      <c r="BV20" s="280"/>
      <c r="BW20" s="204"/>
      <c r="BX20" s="204"/>
      <c r="BY20" s="204"/>
      <c r="BZ20" s="204"/>
      <c r="CA20" s="204"/>
      <c r="CB20" s="204"/>
    </row>
    <row r="21" spans="1:80" ht="16.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7"/>
      <c r="Q21" s="368" t="s">
        <v>77</v>
      </c>
      <c r="R21" s="370" t="s">
        <v>48</v>
      </c>
      <c r="S21" s="370" t="str">
        <f>IF(D7="","",""&amp;D7)&amp;IF(D8="","","   +   "&amp;D8)&amp;IF(D9="","","   +   "&amp;D9)&amp;IF(D10="","","   +   "&amp;D10)&amp;IF(D11="","","   +   "&amp;D11)&amp;IF(D12="","","   +   "&amp;D12)&amp;IF(D13="","","   +   "&amp;D13)&amp;IF(D14="","","   +   "&amp;D14)&amp;IF(D15="","","   +   "&amp;D15)&amp;IF(D16="","","   +   "&amp;D16)&amp;IF(D17="","","   +   "&amp;D17)&amp;IF(D18="","","   +   "&amp;D18)</f>
        <v>Karotten   +   Sellerie   +   grüne Bohnen   +   Kartoffel, gekocht   +   Erbsen, gekocht   +   Essiggurken   +   Äpfel   +   Majonäse   +   Jogurt   +   Gewürze (Salz, Pfeffer, Senf)</v>
      </c>
      <c r="T21" s="370"/>
      <c r="U21" s="370"/>
      <c r="V21" s="370"/>
      <c r="W21" s="370"/>
      <c r="X21" s="371"/>
      <c r="Y21" s="204"/>
      <c r="Z21" s="204"/>
      <c r="AA21" s="222"/>
      <c r="AB21" s="203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7"/>
      <c r="AS21" s="368" t="s">
        <v>77</v>
      </c>
      <c r="AT21" s="370" t="s">
        <v>48</v>
      </c>
      <c r="AU21" s="370" t="str">
        <f>IF(D7="","",""&amp;D7)&amp;IF(D8="","","   +   "&amp;D8)&amp;IF(D9="","","   +   "&amp;D9)&amp;IF(D10="","","   +   "&amp;D10)&amp;IF(D11="","","   +   "&amp;D11)&amp;IF(D12="","","   +   "&amp;D12)&amp;IF(D13="","","   +   "&amp;D13)&amp;IF(D14="","","   +   "&amp;D14)&amp;IF(D15="","","   +   "&amp;D15)&amp;IF(D16="","","   +   "&amp;D16)&amp;IF(D17="","","   +   "&amp;D17)&amp;IF(D18="","","   +   "&amp;D18)</f>
        <v>Karotten   +   Sellerie   +   grüne Bohnen   +   Kartoffel, gekocht   +   Erbsen, gekocht   +   Essiggurken   +   Äpfel   +   Majonäse   +   Jogurt   +   Gewürze (Salz, Pfeffer, Senf)</v>
      </c>
      <c r="AV21" s="370"/>
      <c r="AW21" s="370"/>
      <c r="AX21" s="370"/>
      <c r="AY21" s="370"/>
      <c r="AZ21" s="371"/>
      <c r="BA21" s="204"/>
      <c r="BB21" s="204"/>
      <c r="BC21" s="280"/>
      <c r="BD21" s="280"/>
      <c r="BE21" s="280"/>
      <c r="BF21" s="280"/>
      <c r="BG21" s="280"/>
      <c r="BH21" s="280"/>
      <c r="BI21" s="280"/>
      <c r="BJ21" s="280"/>
      <c r="BK21" s="280"/>
      <c r="BL21" s="280"/>
      <c r="BM21" s="280"/>
      <c r="BN21" s="280"/>
      <c r="BO21" s="280"/>
      <c r="BP21" s="280"/>
      <c r="BQ21" s="280"/>
      <c r="BR21" s="207"/>
      <c r="BS21" s="219" t="s">
        <v>44</v>
      </c>
      <c r="BT21" s="220"/>
      <c r="BU21" s="220"/>
      <c r="BV21" s="220"/>
      <c r="BW21" s="220"/>
      <c r="BX21" s="220"/>
      <c r="BY21" s="220"/>
      <c r="BZ21" s="221"/>
      <c r="CA21" s="204"/>
      <c r="CB21" s="204"/>
    </row>
    <row r="22" spans="1:80" ht="16.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7"/>
      <c r="Q22" s="368"/>
      <c r="R22" s="370"/>
      <c r="S22" s="370"/>
      <c r="T22" s="370"/>
      <c r="U22" s="370"/>
      <c r="V22" s="370"/>
      <c r="W22" s="370"/>
      <c r="X22" s="371"/>
      <c r="Y22" s="204"/>
      <c r="Z22" s="204"/>
      <c r="AA22" s="230"/>
      <c r="AB22" s="203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7"/>
      <c r="AS22" s="368"/>
      <c r="AT22" s="370"/>
      <c r="AU22" s="370"/>
      <c r="AV22" s="370"/>
      <c r="AW22" s="370"/>
      <c r="AX22" s="370"/>
      <c r="AY22" s="370"/>
      <c r="AZ22" s="371"/>
      <c r="BA22" s="204"/>
      <c r="BB22" s="204"/>
      <c r="BC22" s="280"/>
      <c r="BD22" s="280"/>
      <c r="BE22" s="280"/>
      <c r="BF22" s="280"/>
      <c r="BG22" s="280"/>
      <c r="BH22" s="280"/>
      <c r="BI22" s="280"/>
      <c r="BJ22" s="280"/>
      <c r="BK22" s="280"/>
      <c r="BL22" s="280"/>
      <c r="BM22" s="280"/>
      <c r="BN22" s="280"/>
      <c r="BO22" s="280"/>
      <c r="BP22" s="280"/>
      <c r="BQ22" s="280"/>
      <c r="BR22" s="207"/>
      <c r="BS22" s="368" t="s">
        <v>78</v>
      </c>
      <c r="BT22" s="369" t="s">
        <v>48</v>
      </c>
      <c r="BU22" s="370" t="str">
        <f>IF(AND(SUM(K31:K41)=0,K19&lt;&gt;""),"ZWISCHENSUMMME",IF(D31="","","ZWISCHENSUMMME   +   "&amp;D31)&amp;IF(D32="","","   +   "&amp;D32)&amp;IF(D33="","","   +   "&amp;D33)&amp;IF(D34="","","   +   "&amp;D34)&amp;IF(D35="","","   +   "&amp;D35)&amp;IF(D36="","","   +   "&amp;D36)&amp;IF(D37="","","   +   "&amp;D37)&amp;IF(D38="","","   +   "&amp;D38)&amp;IF(D39="","","   +   "&amp;D39)&amp;IF(D40="","","   +   "&amp;D40)&amp;IF(D41="","","   +   "&amp;D41))</f>
        <v>ZWISCHENSUMMME</v>
      </c>
      <c r="BV22" s="370"/>
      <c r="BW22" s="370"/>
      <c r="BX22" s="370"/>
      <c r="BY22" s="370"/>
      <c r="BZ22" s="371"/>
      <c r="CA22" s="204"/>
      <c r="CB22" s="204"/>
    </row>
    <row r="23" spans="1:80" ht="16.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7"/>
      <c r="Q23" s="372" t="s">
        <v>77</v>
      </c>
      <c r="R23" s="374" t="s">
        <v>48</v>
      </c>
      <c r="S23" s="376" t="str">
        <f>IF(K7="","",""&amp;DOLLAR(K7,3))&amp;IF(K8="","","   +   "&amp;DOLLAR(K8,3))&amp;IF(K9="","","   +   "&amp;DOLLAR(K9,3))&amp;IF(K10="","","   +   "&amp;DOLLAR(K10,3))&amp;IF(K11="","","   +   "&amp;DOLLAR(K11,3))&amp;IF(K12="","","   +   "&amp;DOLLAR(K12,3))&amp;IF(K13="","","   +   "&amp;DOLLAR(K13,3))&amp;IF(K14="","","   +   "&amp;DOLLAR(K14,3))&amp;IF(K15="","","   +   "&amp;DOLLAR(K15,3))&amp;IF(K16="","","   +   "&amp;DOLLAR(K16,3))&amp;IF(K17="","","   +   "&amp;DOLLAR(K17,3))&amp;IF(K18="","","   +   "&amp;DOLLAR(K18,3))&amp;"   =   "&amp;DOLLAR(SUM(K7:K18),3)</f>
        <v>0,038 €   +   0,068 €   +   0,039 €   +   0,031 €   +   0,050 €   +   0,175 €   +   0,036 €   +   0,388 €   +   0,096 €   +   0,100 €   =   1,023 €</v>
      </c>
      <c r="T23" s="376"/>
      <c r="U23" s="376"/>
      <c r="V23" s="376"/>
      <c r="W23" s="376"/>
      <c r="X23" s="377"/>
      <c r="Y23" s="204"/>
      <c r="Z23" s="204"/>
      <c r="AA23" s="222"/>
      <c r="AB23" s="203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7"/>
      <c r="AS23" s="372" t="s">
        <v>77</v>
      </c>
      <c r="AT23" s="374" t="s">
        <v>48</v>
      </c>
      <c r="AU23" s="376" t="str">
        <f>IF(K7="","",""&amp;DOLLAR(K7,3))&amp;IF(K8="","","   +   "&amp;DOLLAR(K8,3))&amp;IF(K9="","","   +   "&amp;DOLLAR(K9,3))&amp;IF(K10="","","   +   "&amp;DOLLAR(K10,3))&amp;IF(K11="","","   +   "&amp;DOLLAR(K11,3))&amp;IF(K12="","","   +   "&amp;DOLLAR(K12,3))&amp;IF(K13="","","   +   "&amp;DOLLAR(K13,3))&amp;IF(K14="","","   +   "&amp;DOLLAR(K14,3))&amp;IF(K15="","","   +   "&amp;DOLLAR(K15,3))&amp;IF(K16="","","   +   "&amp;DOLLAR(K16,3))&amp;IF(K17="","","   +   "&amp;DOLLAR(K17,3))&amp;IF(K18="","","   +   "&amp;DOLLAR(K18,3))&amp;"   =   "&amp;DOLLAR(SUM(K7:K18),3)</f>
        <v>0,038 €   +   0,068 €   +   0,039 €   +   0,031 €   +   0,050 €   +   0,175 €   +   0,036 €   +   0,388 €   +   0,096 €   +   0,100 €   =   1,023 €</v>
      </c>
      <c r="AV23" s="376"/>
      <c r="AW23" s="376"/>
      <c r="AX23" s="376"/>
      <c r="AY23" s="376"/>
      <c r="AZ23" s="377"/>
      <c r="BA23" s="204"/>
      <c r="BB23" s="204"/>
      <c r="BC23" s="280"/>
      <c r="BD23" s="280"/>
      <c r="BE23" s="280"/>
      <c r="BF23" s="280"/>
      <c r="BG23" s="280"/>
      <c r="BH23" s="280"/>
      <c r="BI23" s="280"/>
      <c r="BJ23" s="280"/>
      <c r="BK23" s="280"/>
      <c r="BL23" s="280"/>
      <c r="BM23" s="280"/>
      <c r="BN23" s="280"/>
      <c r="BO23" s="280"/>
      <c r="BP23" s="280"/>
      <c r="BQ23" s="280"/>
      <c r="BR23" s="207"/>
      <c r="BS23" s="368"/>
      <c r="BT23" s="369"/>
      <c r="BU23" s="370"/>
      <c r="BV23" s="370"/>
      <c r="BW23" s="370"/>
      <c r="BX23" s="370"/>
      <c r="BY23" s="370"/>
      <c r="BZ23" s="371"/>
      <c r="CA23" s="204"/>
      <c r="CB23" s="204"/>
    </row>
    <row r="24" spans="1:80" ht="16.5" customHeight="1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7"/>
      <c r="Q24" s="384"/>
      <c r="R24" s="375"/>
      <c r="S24" s="378"/>
      <c r="T24" s="378"/>
      <c r="U24" s="378"/>
      <c r="V24" s="378"/>
      <c r="W24" s="378"/>
      <c r="X24" s="379"/>
      <c r="Y24" s="204"/>
      <c r="Z24" s="204"/>
      <c r="AA24" s="230"/>
      <c r="AB24" s="203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7"/>
      <c r="AS24" s="384"/>
      <c r="AT24" s="375"/>
      <c r="AU24" s="378"/>
      <c r="AV24" s="378"/>
      <c r="AW24" s="378"/>
      <c r="AX24" s="378"/>
      <c r="AY24" s="378"/>
      <c r="AZ24" s="379"/>
      <c r="BA24" s="204"/>
      <c r="BB24" s="204"/>
      <c r="BC24" s="280"/>
      <c r="BD24" s="280"/>
      <c r="BE24" s="280"/>
      <c r="BF24" s="280"/>
      <c r="BG24" s="280"/>
      <c r="BH24" s="280"/>
      <c r="BI24" s="280"/>
      <c r="BJ24" s="280"/>
      <c r="BK24" s="280"/>
      <c r="BL24" s="280"/>
      <c r="BM24" s="280"/>
      <c r="BN24" s="280"/>
      <c r="BO24" s="280"/>
      <c r="BP24" s="280"/>
      <c r="BQ24" s="280"/>
      <c r="BR24" s="207"/>
      <c r="BS24" s="372" t="s">
        <v>78</v>
      </c>
      <c r="BT24" s="374" t="s">
        <v>48</v>
      </c>
      <c r="BU24" s="376" t="str">
        <f>IF(AND(SUM(K31:K41)=0,K19&lt;&gt;""),DOLLAR(K19,3),IF(K31="","",DOLLAR(K19,3)&amp;"   +   "&amp;DOLLAR(K31,3))&amp;IF(K32="","","   +   "&amp;DOLLAR(K32,3))&amp;IF(K33="","","   +   "&amp;DOLLAR(K33,3))&amp;IF(K34="","","   +   "&amp;DOLLAR(K34,3))&amp;IF(K35="","","   +   "&amp;DOLLAR(K35,3))&amp;IF(K36="","","   +   "&amp;DOLLAR(K36,3))&amp;IF(K37="","","   +   "&amp;DOLLAR(K37,3))&amp;IF(K38="","","   +   "&amp;DOLLAR(K38,3))&amp;IF(K39="","","   +   "&amp;DOLLAR(K39,3))&amp;IF(K40="","","   +   "&amp;DOLLAR(K40,3))&amp;IF(K41="","","   +   "&amp;DOLLAR(K41,3))&amp;IF(K42="","","   +   "&amp;DOLLAR(K42,3))&amp;"   =   "&amp;DOLLAR(SUM(K19,K31:K41),3))</f>
        <v>1,023 €</v>
      </c>
      <c r="BV24" s="376"/>
      <c r="BW24" s="376"/>
      <c r="BX24" s="376"/>
      <c r="BY24" s="376"/>
      <c r="BZ24" s="377"/>
      <c r="CA24" s="204"/>
      <c r="CB24" s="204"/>
    </row>
    <row r="25" spans="1:80" ht="16.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7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22"/>
      <c r="AB25" s="203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7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280"/>
      <c r="BN25" s="280"/>
      <c r="BO25" s="280"/>
      <c r="BP25" s="280"/>
      <c r="BQ25" s="280"/>
      <c r="BR25" s="207"/>
      <c r="BS25" s="373"/>
      <c r="BT25" s="375"/>
      <c r="BU25" s="378"/>
      <c r="BV25" s="378"/>
      <c r="BW25" s="378"/>
      <c r="BX25" s="378"/>
      <c r="BY25" s="378"/>
      <c r="BZ25" s="379"/>
      <c r="CA25" s="204"/>
      <c r="CB25" s="204"/>
    </row>
    <row r="26" spans="1:80" ht="16.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7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30"/>
      <c r="AB26" s="203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7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7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</row>
    <row r="27" spans="1:80" ht="16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7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22"/>
      <c r="AB27" s="203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7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7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</row>
    <row r="28" spans="1:80" ht="16.5" customHeight="1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7"/>
      <c r="Q28" s="219" t="s">
        <v>74</v>
      </c>
      <c r="R28" s="220"/>
      <c r="S28" s="220"/>
      <c r="T28" s="220"/>
      <c r="U28" s="220"/>
      <c r="V28" s="220"/>
      <c r="W28" s="220"/>
      <c r="X28" s="221"/>
      <c r="Y28" s="204"/>
      <c r="Z28" s="204"/>
      <c r="AA28" s="230"/>
      <c r="AB28" s="203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7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7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</row>
    <row r="29" spans="1:80" ht="16.5" customHeight="1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7"/>
      <c r="Q29" s="368" t="s">
        <v>72</v>
      </c>
      <c r="R29" s="370" t="s">
        <v>73</v>
      </c>
      <c r="S29" s="370"/>
      <c r="T29" s="370"/>
      <c r="U29" s="370"/>
      <c r="V29" s="370"/>
      <c r="W29" s="370"/>
      <c r="X29" s="371"/>
      <c r="Y29" s="204"/>
      <c r="Z29" s="204"/>
      <c r="AA29" s="222"/>
      <c r="AB29" s="203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7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7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</row>
    <row r="30" spans="1:80" ht="16.5" customHeight="1" thickBot="1">
      <c r="A30" s="213"/>
      <c r="B30" s="231" t="s">
        <v>25</v>
      </c>
      <c r="C30" s="232"/>
      <c r="D30" s="233">
        <f>IF(Dateneingabe!C40="","",Dateneingabe!C40)</f>
      </c>
      <c r="E30" s="234"/>
      <c r="F30" s="234"/>
      <c r="G30" s="234"/>
      <c r="H30" s="234"/>
      <c r="I30" s="234"/>
      <c r="J30" s="234"/>
      <c r="K30" s="235"/>
      <c r="L30" s="234"/>
      <c r="M30" s="234"/>
      <c r="N30" s="236"/>
      <c r="O30" s="213"/>
      <c r="P30" s="207"/>
      <c r="Q30" s="368"/>
      <c r="R30" s="370"/>
      <c r="S30" s="370"/>
      <c r="T30" s="370"/>
      <c r="U30" s="370"/>
      <c r="V30" s="370"/>
      <c r="W30" s="370"/>
      <c r="X30" s="371"/>
      <c r="Y30" s="204"/>
      <c r="Z30" s="204"/>
      <c r="AA30" s="230"/>
      <c r="AB30" s="203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7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7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</row>
    <row r="31" spans="1:80" ht="16.5" customHeight="1" thickBot="1">
      <c r="A31" s="213"/>
      <c r="B31" s="237">
        <f>IF(Dateneingabe!B42="","",Dateneingabe!B42)</f>
      </c>
      <c r="C31" s="238">
        <f>IF(Dateneingabe!C42="","",Dateneingabe!C42)</f>
      </c>
      <c r="D31" s="239">
        <f>IF(Dateneingabe!E42="","",Dateneingabe!E42)</f>
      </c>
      <c r="E31" s="251">
        <f>IF(Dateneingabe!G42="","",Dateneingabe!G42)</f>
      </c>
      <c r="F31" s="252">
        <f>IF($F$4="","",IF(Dateneingabe!J42="","",ROUND(Dateneingabe!J42,2)))</f>
      </c>
      <c r="G31" s="253">
        <f>IF($F$4="","",IF(Dateneingabe!J42="","",Dateneingabe!K42&amp;" "&amp;Dateneingabe!L42))</f>
      </c>
      <c r="H31" s="254">
        <f aca="true" t="shared" si="12" ref="H31:H41">IF(OR(F$4="",F31="",$B31=""),"",IF($E31&lt;&gt;"",$B31*$E31/1000*F31,$B31/IF($C31="",1,VLOOKUP($C31,Faktor,3,0))*F31))</f>
      </c>
      <c r="I31" s="252">
        <f>IF($I$4="","",IF(F31="","",ROUND(F31*(1+$AF$46*Dateneingabe!$G$5),2)))</f>
      </c>
      <c r="J31" s="244">
        <f>IF($I$4="","",IF(Dateneingabe!J42="","",Dateneingabe!K42&amp;" "&amp;Dateneingabe!L42))</f>
      </c>
      <c r="K31" s="412">
        <f aca="true" t="shared" si="13" ref="K31:K41">IF(OR(I$4="",I31="",$B31=""),"",IF($E31&lt;&gt;"",$B31*$E31/1000*I31,$B31/IF($C31="",1,VLOOKUP($C31,Faktor,3,0))*I31))</f>
      </c>
      <c r="L31" s="252">
        <f>IF($L$4="","",IF(F31="","",ROUND(F31*(1+$AF$47*Dateneingabe!$G$5),2)))</f>
      </c>
      <c r="M31" s="253">
        <f>IF($L$4="","",IF(Dateneingabe!J42="","",Dateneingabe!K42&amp;" "&amp;Dateneingabe!L42))</f>
      </c>
      <c r="N31" s="255">
        <f aca="true" t="shared" si="14" ref="N31:N41">IF(OR(L$4="",L31="",$B31=""),"",IF($E31&lt;&gt;"",$B31*$E31/1000*L31,$B31/IF($C31="",1,VLOOKUP($C31,Faktor,3,0))*L31))</f>
      </c>
      <c r="O31" s="213"/>
      <c r="P31" s="207"/>
      <c r="Q31" s="247" t="s">
        <v>75</v>
      </c>
      <c r="R31" s="248">
        <f aca="true" t="shared" si="15" ref="R31:R40">IF(D31="","",D31)</f>
      </c>
      <c r="S31" s="248"/>
      <c r="T31" s="249">
        <f>IF($D31="","",$D31&amp;"   =   "&amp;B31&amp;" "&amp;Dateneingabe!C42&amp;"   x   "&amp;IF($E31&lt;&gt;"",$E31&amp;" g/St   x   ","")&amp;I31&amp;" €"&amp;Dateneingabe!K42&amp;Dateneingabe!L42&amp;IF($C31="","",IF(VLOOKUP($C31,Faktor,3,0)=0,"","   :   "&amp;VLOOKUP($C31,Faktor,3,0)))&amp;"   =   "&amp;FIXED(B31*IF($E31&lt;&gt;"",$E31/1,1)*I31/IF($C31="",1,IF(VLOOKUP($C31,Faktor,3,0)=0,1,VLOOKUP($C31,Faktor,3,0))),3)&amp;" €")</f>
      </c>
      <c r="U31" s="249"/>
      <c r="V31" s="249"/>
      <c r="W31" s="249"/>
      <c r="X31" s="250"/>
      <c r="Y31" s="204"/>
      <c r="Z31" s="204"/>
      <c r="AA31" s="222"/>
      <c r="AB31" s="203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7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7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</row>
    <row r="32" spans="1:80" ht="16.5" customHeight="1" thickBot="1">
      <c r="A32" s="213"/>
      <c r="B32" s="237">
        <f>IF(Dateneingabe!B44="","",Dateneingabe!B44)</f>
      </c>
      <c r="C32" s="256">
        <f>IF(Dateneingabe!C44="","",Dateneingabe!C44)</f>
      </c>
      <c r="D32" s="257">
        <f>IF(Dateneingabe!E44="","",Dateneingabe!E44)</f>
      </c>
      <c r="E32" s="240">
        <f>IF(Dateneingabe!G44="","",Dateneingabe!G44)</f>
      </c>
      <c r="F32" s="241">
        <f>IF($F$4="","",IF(Dateneingabe!J44="","",ROUND(Dateneingabe!J44,2)))</f>
      </c>
      <c r="G32" s="258">
        <f>IF($F$4="","",IF(Dateneingabe!J44="","",Dateneingabe!K44&amp;" "&amp;Dateneingabe!L44))</f>
      </c>
      <c r="H32" s="243">
        <f t="shared" si="12"/>
      </c>
      <c r="I32" s="241">
        <f>IF($I$4="","",IF(F32="","",ROUND(F32*(1+$AF$46*Dateneingabe!$G$5),2)))</f>
      </c>
      <c r="J32" s="259">
        <f>IF($I$4="","",IF(Dateneingabe!J44="","",Dateneingabe!K44&amp;" "&amp;Dateneingabe!L44))</f>
      </c>
      <c r="K32" s="245">
        <f t="shared" si="13"/>
      </c>
      <c r="L32" s="241">
        <f>IF($L$4="","",IF(F32="","",ROUND(F32*(1+$AF$47*Dateneingabe!$G$5),2)))</f>
      </c>
      <c r="M32" s="258">
        <f>IF($L$4="","",IF(Dateneingabe!J44="","",Dateneingabe!K44&amp;" "&amp;Dateneingabe!L44))</f>
      </c>
      <c r="N32" s="246">
        <f t="shared" si="14"/>
      </c>
      <c r="O32" s="213"/>
      <c r="P32" s="207"/>
      <c r="Q32" s="260"/>
      <c r="R32" s="248">
        <f t="shared" si="15"/>
      </c>
      <c r="S32" s="248"/>
      <c r="T32" s="249">
        <f>IF($D32="","",$D32&amp;"   =   "&amp;B32&amp;" "&amp;Dateneingabe!C44&amp;"   x   "&amp;IF($E32&lt;&gt;"",$E32&amp;" g/St   x   ","")&amp;I32&amp;" €"&amp;Dateneingabe!K44&amp;Dateneingabe!L44&amp;IF($C32="","",IF(VLOOKUP($C32,Faktor,3,0)=0,"","   :   "&amp;VLOOKUP($C32,Faktor,3,0)))&amp;"   =   "&amp;FIXED(B32*IF($E32&lt;&gt;"",$E32/1,1)*I32/IF($C32="",1,IF(VLOOKUP($C32,Faktor,3,0)=0,1,VLOOKUP($C32,Faktor,3,0))),3)&amp;" €")</f>
      </c>
      <c r="U32" s="249"/>
      <c r="V32" s="249"/>
      <c r="W32" s="249"/>
      <c r="X32" s="250"/>
      <c r="Y32" s="204"/>
      <c r="Z32" s="204"/>
      <c r="AA32" s="230"/>
      <c r="AB32" s="203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7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7"/>
      <c r="BS32" s="204"/>
      <c r="BT32" s="204"/>
      <c r="BU32" s="204"/>
      <c r="BV32" s="204"/>
      <c r="BW32" s="204"/>
      <c r="BX32" s="204"/>
      <c r="BY32" s="204"/>
      <c r="BZ32" s="204"/>
      <c r="CA32" s="204"/>
      <c r="CB32" s="204"/>
    </row>
    <row r="33" spans="1:80" ht="16.5" customHeight="1" thickBot="1">
      <c r="A33" s="213"/>
      <c r="B33" s="237">
        <f>IF(Dateneingabe!B46="","",Dateneingabe!B46)</f>
      </c>
      <c r="C33" s="256">
        <f>IF(Dateneingabe!C46="","",Dateneingabe!C46)</f>
      </c>
      <c r="D33" s="257">
        <f>IF(Dateneingabe!E46="","",Dateneingabe!E46)</f>
      </c>
      <c r="E33" s="240">
        <f>IF(Dateneingabe!G46="","",Dateneingabe!G46)</f>
      </c>
      <c r="F33" s="241">
        <f>IF($F$4="","",IF(Dateneingabe!J46="","",ROUND(Dateneingabe!J46,2)))</f>
      </c>
      <c r="G33" s="242">
        <f>IF($F$4="","",IF(Dateneingabe!J46="","",Dateneingabe!K46&amp;" "&amp;Dateneingabe!L46))</f>
      </c>
      <c r="H33" s="243">
        <f t="shared" si="12"/>
      </c>
      <c r="I33" s="241">
        <f>IF($I$4="","",IF(F33="","",ROUND(F33*(1+$AF$46*Dateneingabe!$G$5),2)))</f>
      </c>
      <c r="J33" s="244">
        <f>IF($I$4="","",IF(Dateneingabe!J46="","",Dateneingabe!K46&amp;" "&amp;Dateneingabe!L46))</f>
      </c>
      <c r="K33" s="245">
        <f t="shared" si="13"/>
      </c>
      <c r="L33" s="241">
        <f>IF($L$4="","",IF(F33="","",ROUND(F33*(1+$AF$47*Dateneingabe!$G$5),2)))</f>
      </c>
      <c r="M33" s="242">
        <f>IF($L$4="","",IF(Dateneingabe!J46="","",Dateneingabe!K46&amp;" "&amp;Dateneingabe!L46))</f>
      </c>
      <c r="N33" s="246">
        <f t="shared" si="14"/>
      </c>
      <c r="O33" s="213"/>
      <c r="P33" s="207"/>
      <c r="Q33" s="260"/>
      <c r="R33" s="248">
        <f t="shared" si="15"/>
      </c>
      <c r="S33" s="248"/>
      <c r="T33" s="249">
        <f>IF($D33="","",$D33&amp;"   =   "&amp;B33&amp;" "&amp;Dateneingabe!C46&amp;"   x   "&amp;IF($E33&lt;&gt;"",$E33&amp;" g/St   x   ","")&amp;I33&amp;" €"&amp;Dateneingabe!K46&amp;Dateneingabe!L46&amp;IF($C33="","",IF(VLOOKUP($C33,Faktor,3,0)=0,"","   :   "&amp;VLOOKUP($C33,Faktor,3,0)))&amp;"   =   "&amp;FIXED(B33*IF($E33&lt;&gt;"",$E33/1,1)*I33/IF($C33="",1,IF(VLOOKUP($C33,Faktor,3,0)=0,1,VLOOKUP($C33,Faktor,3,0))),3)&amp;" €")</f>
      </c>
      <c r="U33" s="249"/>
      <c r="V33" s="249"/>
      <c r="W33" s="249"/>
      <c r="X33" s="250"/>
      <c r="Y33" s="204"/>
      <c r="Z33" s="204"/>
      <c r="AA33" s="222"/>
      <c r="AB33" s="203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7"/>
      <c r="AS33" s="204"/>
      <c r="AT33" s="204"/>
      <c r="AU33" s="204"/>
      <c r="AV33" s="204"/>
      <c r="AW33" s="204"/>
      <c r="AX33" s="204"/>
      <c r="AY33" s="204"/>
      <c r="AZ33" s="204"/>
      <c r="BA33" s="204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7"/>
      <c r="BS33" s="204"/>
      <c r="BT33" s="204"/>
      <c r="BU33" s="204"/>
      <c r="BV33" s="204"/>
      <c r="BW33" s="204"/>
      <c r="BX33" s="204"/>
      <c r="BY33" s="204"/>
      <c r="BZ33" s="204"/>
      <c r="CA33" s="204"/>
      <c r="CB33" s="204"/>
    </row>
    <row r="34" spans="1:80" ht="16.5" customHeight="1" thickBot="1">
      <c r="A34" s="213"/>
      <c r="B34" s="237">
        <f>IF(Dateneingabe!B48="","",Dateneingabe!B48)</f>
      </c>
      <c r="C34" s="256">
        <f>IF(Dateneingabe!C48="","",Dateneingabe!C48)</f>
      </c>
      <c r="D34" s="257">
        <f>IF(Dateneingabe!E48="","",Dateneingabe!E48)</f>
      </c>
      <c r="E34" s="240">
        <f>IF(Dateneingabe!G48="","",Dateneingabe!G48)</f>
      </c>
      <c r="F34" s="241">
        <f>IF($F$4="","",IF(Dateneingabe!J48="","",ROUND(Dateneingabe!J48,2)))</f>
      </c>
      <c r="G34" s="258">
        <f>IF($F$4="","",IF(Dateneingabe!J48="","",Dateneingabe!K48&amp;" "&amp;Dateneingabe!L48))</f>
      </c>
      <c r="H34" s="243">
        <f t="shared" si="12"/>
      </c>
      <c r="I34" s="241">
        <f>IF($I$4="","",IF(F34="","",ROUND(F34*(1+$AF$46*Dateneingabe!$G$5),2)))</f>
      </c>
      <c r="J34" s="259">
        <f>IF($I$4="","",IF(Dateneingabe!J48="","",Dateneingabe!K48&amp;" "&amp;Dateneingabe!L48))</f>
      </c>
      <c r="K34" s="245">
        <f>IF(OR(I$4="",I34="",$B34=""),"",IF($E34&lt;&gt;"",$B34*$E34/1000*I34,$B34/IF($C34="",1,VLOOKUP($C34,Faktor,3,0))*I34))</f>
      </c>
      <c r="L34" s="241">
        <f>IF($L$4="","",IF(F34="","",ROUND(F34*(1+$AF$47*Dateneingabe!$G$5),2)))</f>
      </c>
      <c r="M34" s="258">
        <f>IF($L$4="","",IF(Dateneingabe!J48="","",Dateneingabe!K48&amp;" "&amp;Dateneingabe!L48))</f>
      </c>
      <c r="N34" s="246">
        <f t="shared" si="14"/>
      </c>
      <c r="O34" s="213"/>
      <c r="P34" s="207"/>
      <c r="Q34" s="260"/>
      <c r="R34" s="248">
        <f>IF(D34="","",D34)</f>
      </c>
      <c r="S34" s="248"/>
      <c r="T34" s="249">
        <f>IF($D34="","",$D34&amp;"   =   "&amp;B34&amp;" "&amp;Dateneingabe!C48&amp;"   x   "&amp;IF($E34&lt;&gt;"",$E34&amp;" g/St   x   ","")&amp;I34&amp;" €"&amp;Dateneingabe!K48&amp;Dateneingabe!L48&amp;IF($C34="","",IF(VLOOKUP($C34,Faktor,3,0)=0,"","   :   "&amp;VLOOKUP($C34,Faktor,3,0)))&amp;"   =   "&amp;FIXED(B34*IF($E34&lt;&gt;"",$E34/1,1)*I34/IF($C34="",1,IF(VLOOKUP($C34,Faktor,3,0)=0,1,VLOOKUP($C34,Faktor,3,0))),3)&amp;" €")</f>
      </c>
      <c r="U34" s="249"/>
      <c r="V34" s="249"/>
      <c r="W34" s="249"/>
      <c r="X34" s="250"/>
      <c r="Y34" s="204"/>
      <c r="Z34" s="204"/>
      <c r="AA34" s="230"/>
      <c r="AB34" s="203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7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7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</row>
    <row r="35" spans="1:80" ht="16.5" customHeight="1" thickBot="1">
      <c r="A35" s="213"/>
      <c r="B35" s="237">
        <f>IF(Dateneingabe!B50="","",Dateneingabe!B50)</f>
      </c>
      <c r="C35" s="256">
        <f>IF(Dateneingabe!C50="","",Dateneingabe!C50)</f>
      </c>
      <c r="D35" s="257">
        <f>IF(Dateneingabe!E50="","",Dateneingabe!E50)</f>
      </c>
      <c r="E35" s="240">
        <f>IF(Dateneingabe!G50="","",Dateneingabe!G50)</f>
      </c>
      <c r="F35" s="241">
        <f>IF($F$4="","",IF(Dateneingabe!J50="","",ROUND(Dateneingabe!J50,2)))</f>
      </c>
      <c r="G35" s="242">
        <f>IF($F$4="","",IF(Dateneingabe!J50="","",Dateneingabe!K50&amp;" "&amp;Dateneingabe!L50))</f>
      </c>
      <c r="H35" s="243">
        <f t="shared" si="12"/>
      </c>
      <c r="I35" s="241">
        <f>IF($I$4="","",IF(F35="","",ROUND(F35*(1+$AF$46*Dateneingabe!$G$5),2)))</f>
      </c>
      <c r="J35" s="244">
        <f>IF($I$4="","",IF(Dateneingabe!J50="","",Dateneingabe!K50&amp;" "&amp;Dateneingabe!L50))</f>
      </c>
      <c r="K35" s="245">
        <f t="shared" si="13"/>
      </c>
      <c r="L35" s="241">
        <f>IF($L$4="","",IF(F35="","",ROUND(F35*(1+$AF$47*Dateneingabe!$G$5),2)))</f>
      </c>
      <c r="M35" s="242">
        <f>IF($L$4="","",IF(Dateneingabe!J50="","",Dateneingabe!K50&amp;" "&amp;Dateneingabe!L50))</f>
      </c>
      <c r="N35" s="246">
        <f t="shared" si="14"/>
      </c>
      <c r="O35" s="213"/>
      <c r="P35" s="207"/>
      <c r="Q35" s="260"/>
      <c r="R35" s="248">
        <f t="shared" si="15"/>
      </c>
      <c r="S35" s="248"/>
      <c r="T35" s="249">
        <f>IF($D35="","",$D35&amp;"   =   "&amp;B35&amp;" "&amp;Dateneingabe!C50&amp;"   x   "&amp;IF($E35&lt;&gt;"",$E35&amp;" g/St   x   ","")&amp;I35&amp;" €"&amp;Dateneingabe!K50&amp;Dateneingabe!L50&amp;IF($C35="","",IF(VLOOKUP($C35,Faktor,3,0)=0,"","   :   "&amp;VLOOKUP($C35,Faktor,3,0)))&amp;"   =   "&amp;FIXED(B35*IF($E35&lt;&gt;"",$E35/1,1)*I35/IF($C35="",1,IF(VLOOKUP($C35,Faktor,3,0)=0,1,VLOOKUP($C35,Faktor,3,0))),3)&amp;" €")</f>
      </c>
      <c r="U35" s="249"/>
      <c r="V35" s="249"/>
      <c r="W35" s="249"/>
      <c r="X35" s="250"/>
      <c r="Y35" s="204"/>
      <c r="Z35" s="204"/>
      <c r="AA35" s="222"/>
      <c r="AB35" s="203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7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7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</row>
    <row r="36" spans="1:80" ht="19.5" customHeight="1" thickBot="1">
      <c r="A36" s="213"/>
      <c r="B36" s="237">
        <f>IF(Dateneingabe!B52="","",Dateneingabe!B52)</f>
      </c>
      <c r="C36" s="256">
        <f>IF(Dateneingabe!C52="","",Dateneingabe!C52)</f>
      </c>
      <c r="D36" s="257">
        <f>IF(Dateneingabe!E52="","",Dateneingabe!E52)</f>
      </c>
      <c r="E36" s="240">
        <f>IF(Dateneingabe!G52="","",Dateneingabe!G52)</f>
      </c>
      <c r="F36" s="241">
        <f>IF($F$4="","",IF(Dateneingabe!J52="","",ROUND(Dateneingabe!J52,2)))</f>
      </c>
      <c r="G36" s="242">
        <f>IF($F$4="","",IF(Dateneingabe!J52="","",Dateneingabe!K52&amp;" "&amp;Dateneingabe!L52))</f>
      </c>
      <c r="H36" s="243">
        <f t="shared" si="12"/>
      </c>
      <c r="I36" s="241">
        <f>IF($I$4="","",IF(F36="","",ROUND(F36*(1+$AF$46*Dateneingabe!$G$5),2)))</f>
      </c>
      <c r="J36" s="244">
        <f>IF($I$4="","",IF(Dateneingabe!J52="","",Dateneingabe!K52&amp;" "&amp;Dateneingabe!L52))</f>
      </c>
      <c r="K36" s="245">
        <f t="shared" si="13"/>
      </c>
      <c r="L36" s="241">
        <f>IF($L$4="","",IF(F36="","",ROUND(F36*(1+$AF$47*Dateneingabe!$G$5),2)))</f>
      </c>
      <c r="M36" s="242">
        <f>IF($L$4="","",IF(Dateneingabe!J52="","",Dateneingabe!K52&amp;" "&amp;Dateneingabe!L52))</f>
      </c>
      <c r="N36" s="246">
        <f t="shared" si="14"/>
      </c>
      <c r="O36" s="213"/>
      <c r="P36" s="207"/>
      <c r="Q36" s="260"/>
      <c r="R36" s="248">
        <f t="shared" si="15"/>
      </c>
      <c r="S36" s="248"/>
      <c r="T36" s="249">
        <f>IF($D36="","",$D36&amp;"   =   "&amp;B36&amp;" "&amp;Dateneingabe!C52&amp;"   x   "&amp;IF($E36&lt;&gt;"",$E36&amp;" g/St   x   ","")&amp;I36&amp;" €"&amp;Dateneingabe!K52&amp;Dateneingabe!L52&amp;IF($C36="","",IF(VLOOKUP($C36,Faktor,3,0)=0,"","   :   "&amp;VLOOKUP($C36,Faktor,3,0)))&amp;"   =   "&amp;FIXED(B36*IF($E36&lt;&gt;"",$E36/1,1)*I36/IF($C36="",1,IF(VLOOKUP($C36,Faktor,3,0)=0,1,VLOOKUP($C36,Faktor,3,0))),3)&amp;" €")</f>
      </c>
      <c r="U36" s="249"/>
      <c r="V36" s="249"/>
      <c r="W36" s="249"/>
      <c r="X36" s="250"/>
      <c r="Y36" s="204"/>
      <c r="Z36" s="204"/>
      <c r="AA36" s="230"/>
      <c r="AB36" s="203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7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7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</row>
    <row r="37" spans="1:80" ht="16.5" customHeight="1" thickBot="1">
      <c r="A37" s="213"/>
      <c r="B37" s="237">
        <f>IF(Dateneingabe!B54="","",Dateneingabe!B54)</f>
      </c>
      <c r="C37" s="256">
        <f>IF(Dateneingabe!C54="","",Dateneingabe!C54)</f>
      </c>
      <c r="D37" s="257">
        <f>IF(Dateneingabe!E54="","",Dateneingabe!E54)</f>
      </c>
      <c r="E37" s="240">
        <f>IF(Dateneingabe!G54="","",Dateneingabe!G54)</f>
      </c>
      <c r="F37" s="241">
        <f>IF($F$4="","",IF(Dateneingabe!J54="","",ROUND(Dateneingabe!J54,2)))</f>
      </c>
      <c r="G37" s="242">
        <f>IF($F$4="","",IF(Dateneingabe!J54="","",Dateneingabe!K54&amp;" "&amp;Dateneingabe!L54))</f>
      </c>
      <c r="H37" s="243">
        <f t="shared" si="12"/>
      </c>
      <c r="I37" s="241">
        <f>IF($I$4="","",IF(F37="","",ROUND(F37*(1+$AF$46*Dateneingabe!$G$5),2)))</f>
      </c>
      <c r="J37" s="244">
        <f>IF($I$4="","",IF(Dateneingabe!J54="","",Dateneingabe!K54&amp;" "&amp;Dateneingabe!L54))</f>
      </c>
      <c r="K37" s="245">
        <f t="shared" si="13"/>
      </c>
      <c r="L37" s="241">
        <f>IF($L$4="","",IF(F37="","",ROUND(F37*(1+$AF$47*Dateneingabe!$G$5),2)))</f>
      </c>
      <c r="M37" s="242">
        <f>IF($L$4="","",IF(Dateneingabe!J54="","",Dateneingabe!K54&amp;" "&amp;Dateneingabe!L54))</f>
      </c>
      <c r="N37" s="246">
        <f t="shared" si="14"/>
      </c>
      <c r="O37" s="213"/>
      <c r="P37" s="207"/>
      <c r="Q37" s="260"/>
      <c r="R37" s="248">
        <f t="shared" si="15"/>
      </c>
      <c r="S37" s="248"/>
      <c r="T37" s="249">
        <f>IF($D37="","",$D37&amp;"   =   "&amp;B37&amp;" "&amp;Dateneingabe!C54&amp;"   x   "&amp;IF($E37&lt;&gt;"",$E37&amp;" g/St   x   ","")&amp;I37&amp;" €"&amp;Dateneingabe!K54&amp;Dateneingabe!L54&amp;IF($C37="","",IF(VLOOKUP($C37,Faktor,3,0)=0,"","   :   "&amp;VLOOKUP($C37,Faktor,3,0)))&amp;"   =   "&amp;FIXED(B37*IF($E37&lt;&gt;"",$E37/1,1)*I37/IF($C37="",1,IF(VLOOKUP($C37,Faktor,3,0)=0,1,VLOOKUP($C37,Faktor,3,0))),3)&amp;" €")</f>
      </c>
      <c r="U37" s="249"/>
      <c r="V37" s="249"/>
      <c r="W37" s="249"/>
      <c r="X37" s="250"/>
      <c r="Y37" s="204"/>
      <c r="Z37" s="204"/>
      <c r="AA37" s="222"/>
      <c r="AB37" s="203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7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7"/>
      <c r="BS37" s="204"/>
      <c r="BT37" s="204"/>
      <c r="BU37" s="204"/>
      <c r="BV37" s="204"/>
      <c r="BW37" s="204"/>
      <c r="BX37" s="204"/>
      <c r="BY37" s="204"/>
      <c r="BZ37" s="204"/>
      <c r="CA37" s="204"/>
      <c r="CB37" s="204"/>
    </row>
    <row r="38" spans="1:80" ht="16.5" customHeight="1" thickBot="1">
      <c r="A38" s="213"/>
      <c r="B38" s="237">
        <f>IF(Dateneingabe!B56="","",Dateneingabe!B56)</f>
      </c>
      <c r="C38" s="256">
        <f>IF(Dateneingabe!C56="","",Dateneingabe!C56)</f>
      </c>
      <c r="D38" s="257">
        <f>IF(Dateneingabe!E56="","",Dateneingabe!E56)</f>
      </c>
      <c r="E38" s="240">
        <f>IF(Dateneingabe!G56="","",Dateneingabe!G56)</f>
      </c>
      <c r="F38" s="241">
        <f>IF($F$4="","",IF(Dateneingabe!J56="","",ROUND(Dateneingabe!J56,2)))</f>
      </c>
      <c r="G38" s="242">
        <f>IF($F$4="","",IF(Dateneingabe!J56="","",Dateneingabe!K56&amp;" "&amp;Dateneingabe!L56))</f>
      </c>
      <c r="H38" s="243">
        <f t="shared" si="12"/>
      </c>
      <c r="I38" s="241">
        <f>IF($I$4="","",IF(F38="","",ROUND(F38*(1+$AF$46*Dateneingabe!$G$5),2)))</f>
      </c>
      <c r="J38" s="244">
        <f>IF($I$4="","",IF(Dateneingabe!J56="","",Dateneingabe!K56&amp;" "&amp;Dateneingabe!L56))</f>
      </c>
      <c r="K38" s="245">
        <f t="shared" si="13"/>
      </c>
      <c r="L38" s="241">
        <f>IF($L$4="","",IF(F38="","",ROUND(F38*(1+$AF$47*Dateneingabe!$G$5),2)))</f>
      </c>
      <c r="M38" s="242">
        <f>IF($L$4="","",IF(Dateneingabe!J56="","",Dateneingabe!K56&amp;" "&amp;Dateneingabe!L56))</f>
      </c>
      <c r="N38" s="246">
        <f t="shared" si="14"/>
      </c>
      <c r="O38" s="213"/>
      <c r="P38" s="207"/>
      <c r="Q38" s="260"/>
      <c r="R38" s="248">
        <f t="shared" si="15"/>
      </c>
      <c r="S38" s="248"/>
      <c r="T38" s="249">
        <f>IF($D38="","",$D38&amp;"   =   "&amp;B38&amp;" "&amp;Dateneingabe!C56&amp;"   x   "&amp;IF($E38&lt;&gt;"",$E38&amp;" g/St   x   ","")&amp;I38&amp;" €"&amp;Dateneingabe!K56&amp;Dateneingabe!L56&amp;IF($C38="","",IF(VLOOKUP($C38,Faktor,3,0)=0,"","   :   "&amp;VLOOKUP($C38,Faktor,3,0)))&amp;"   =   "&amp;FIXED(B38*IF($E38&lt;&gt;"",$E38/1,1)*I38/IF($C38="",1,IF(VLOOKUP($C38,Faktor,3,0)=0,1,VLOOKUP($C38,Faktor,3,0))),3)&amp;" €")</f>
      </c>
      <c r="U38" s="249"/>
      <c r="V38" s="249"/>
      <c r="W38" s="249"/>
      <c r="X38" s="250"/>
      <c r="Y38" s="204"/>
      <c r="Z38" s="204"/>
      <c r="AA38" s="230"/>
      <c r="AB38" s="203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7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7"/>
      <c r="BS38" s="204"/>
      <c r="BT38" s="204"/>
      <c r="BU38" s="204"/>
      <c r="BV38" s="204"/>
      <c r="BW38" s="204"/>
      <c r="BX38" s="204"/>
      <c r="BY38" s="204"/>
      <c r="BZ38" s="204"/>
      <c r="CA38" s="204"/>
      <c r="CB38" s="204"/>
    </row>
    <row r="39" spans="1:80" ht="16.5" customHeight="1" thickBot="1">
      <c r="A39" s="213"/>
      <c r="B39" s="237">
        <f>IF(Dateneingabe!B58="","",Dateneingabe!B58)</f>
      </c>
      <c r="C39" s="256">
        <f>IF(Dateneingabe!C58="","",Dateneingabe!C58)</f>
      </c>
      <c r="D39" s="257">
        <f>IF(Dateneingabe!E58="","",Dateneingabe!E58)</f>
      </c>
      <c r="E39" s="240">
        <f>IF(Dateneingabe!G58="","",Dateneingabe!G58)</f>
      </c>
      <c r="F39" s="241">
        <f>IF($F$4="","",IF(Dateneingabe!J58="","",ROUND(Dateneingabe!J58,2)))</f>
      </c>
      <c r="G39" s="242">
        <f>IF($F$4="","",IF(Dateneingabe!J58="","",Dateneingabe!K58&amp;" "&amp;Dateneingabe!L58))</f>
      </c>
      <c r="H39" s="243">
        <f t="shared" si="12"/>
      </c>
      <c r="I39" s="241">
        <f>IF($I$4="","",IF(F39="","",ROUND(F39*(1+$AF$46*Dateneingabe!$G$5),2)))</f>
      </c>
      <c r="J39" s="244">
        <f>IF($I$4="","",IF(Dateneingabe!J58="","",Dateneingabe!K58&amp;" "&amp;Dateneingabe!L58))</f>
      </c>
      <c r="K39" s="245">
        <f t="shared" si="13"/>
      </c>
      <c r="L39" s="241">
        <f>IF($L$4="","",IF(F39="","",ROUND(F39*(1+$AF$47*Dateneingabe!$G$5),2)))</f>
      </c>
      <c r="M39" s="242">
        <f>IF($L$4="","",IF(Dateneingabe!J58="","",Dateneingabe!K58&amp;" "&amp;Dateneingabe!L58))</f>
      </c>
      <c r="N39" s="246">
        <f t="shared" si="14"/>
      </c>
      <c r="O39" s="213"/>
      <c r="P39" s="207"/>
      <c r="Q39" s="260"/>
      <c r="R39" s="248">
        <f t="shared" si="15"/>
      </c>
      <c r="S39" s="248"/>
      <c r="T39" s="249">
        <f>IF($D39="","",$D39&amp;"   =   "&amp;B39&amp;" "&amp;Dateneingabe!C58&amp;"   x   "&amp;IF($E39&lt;&gt;"",$E39&amp;" g/St   x   ","")&amp;I39&amp;" €"&amp;Dateneingabe!K58&amp;Dateneingabe!L58&amp;IF($C39="","",IF(VLOOKUP($C39,Faktor,3,0)=0,"","   :   "&amp;VLOOKUP($C39,Faktor,3,0)))&amp;"   =   "&amp;FIXED(B39*IF($E39&lt;&gt;"",$E39/1,1)*I39/IF($C39="",1,IF(VLOOKUP($C39,Faktor,3,0)=0,1,VLOOKUP($C39,Faktor,3,0))),3)&amp;" €")</f>
      </c>
      <c r="U39" s="249"/>
      <c r="V39" s="249"/>
      <c r="W39" s="249"/>
      <c r="X39" s="250"/>
      <c r="Y39" s="204"/>
      <c r="Z39" s="204"/>
      <c r="AA39" s="222"/>
      <c r="AB39" s="203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7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7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</row>
    <row r="40" spans="1:80" ht="16.5" customHeight="1" thickBot="1">
      <c r="A40" s="213"/>
      <c r="B40" s="237">
        <f>IF(Dateneingabe!B60="","",Dateneingabe!B60)</f>
      </c>
      <c r="C40" s="256">
        <f>IF(Dateneingabe!C60="","",Dateneingabe!C60)</f>
      </c>
      <c r="D40" s="257">
        <f>IF(Dateneingabe!E60="","",Dateneingabe!E60)</f>
      </c>
      <c r="E40" s="240">
        <f>IF(Dateneingabe!G60="","",Dateneingabe!G60)</f>
      </c>
      <c r="F40" s="241">
        <f>IF($F$4="","",IF(Dateneingabe!J60="","",ROUND(Dateneingabe!J60,2)))</f>
      </c>
      <c r="G40" s="242">
        <f>IF($F$4="","",IF(Dateneingabe!J60="","",Dateneingabe!K60&amp;" "&amp;Dateneingabe!L60))</f>
      </c>
      <c r="H40" s="243">
        <f t="shared" si="12"/>
      </c>
      <c r="I40" s="241">
        <f>IF($I$4="","",IF(F40="","",ROUND(F40*(1+$AF$46*Dateneingabe!$G$5),2)))</f>
      </c>
      <c r="J40" s="244">
        <f>IF($I$4="","",IF(Dateneingabe!J60="","",Dateneingabe!K60&amp;" "&amp;Dateneingabe!L60))</f>
      </c>
      <c r="K40" s="245">
        <f t="shared" si="13"/>
      </c>
      <c r="L40" s="241">
        <f>IF($L$4="","",IF(F40="","",ROUND(F40*(1+$AF$47*Dateneingabe!$G$5),2)))</f>
      </c>
      <c r="M40" s="242">
        <f>IF($L$4="","",IF(Dateneingabe!J60="","",Dateneingabe!K60&amp;" "&amp;Dateneingabe!L60))</f>
      </c>
      <c r="N40" s="246">
        <f t="shared" si="14"/>
      </c>
      <c r="O40" s="213"/>
      <c r="P40" s="207"/>
      <c r="Q40" s="260"/>
      <c r="R40" s="248">
        <f t="shared" si="15"/>
      </c>
      <c r="S40" s="248"/>
      <c r="T40" s="249">
        <f>IF($D40="","",$D40&amp;"   =   "&amp;B40&amp;" "&amp;Dateneingabe!C60&amp;"   x   "&amp;IF($E40&lt;&gt;"",$E40&amp;" g/St   x   ","")&amp;I40&amp;" €"&amp;Dateneingabe!K60&amp;Dateneingabe!L60&amp;IF($C40="","",IF(VLOOKUP($C40,Faktor,3,0)=0,"","   :   "&amp;VLOOKUP($C40,Faktor,3,0)))&amp;"   =   "&amp;FIXED(B40*IF($E40&lt;&gt;"",$E40/1,1)*I40/IF($C40="",1,IF(VLOOKUP($C40,Faktor,3,0)=0,1,VLOOKUP($C40,Faktor,3,0))),3)&amp;" €")</f>
      </c>
      <c r="U40" s="249"/>
      <c r="V40" s="249"/>
      <c r="W40" s="249"/>
      <c r="X40" s="250"/>
      <c r="Y40" s="204"/>
      <c r="Z40" s="204"/>
      <c r="AA40" s="230"/>
      <c r="AB40" s="203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7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7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</row>
    <row r="41" spans="1:80" ht="16.5" customHeight="1" thickBot="1">
      <c r="A41" s="213"/>
      <c r="B41" s="237">
        <f>IF(Dateneingabe!B62="","",Dateneingabe!B62)</f>
      </c>
      <c r="C41" s="256">
        <f>IF(Dateneingabe!C62="","",Dateneingabe!C62)</f>
      </c>
      <c r="D41" s="257">
        <f>IF(Dateneingabe!E62="","",Dateneingabe!E62)</f>
      </c>
      <c r="E41" s="240">
        <f>IF(Dateneingabe!G62="","",Dateneingabe!G62)</f>
      </c>
      <c r="F41" s="241">
        <f>IF($F$4="","",IF(Dateneingabe!J62="","",ROUND(Dateneingabe!J62,2)))</f>
      </c>
      <c r="G41" s="242">
        <f>IF($F$4="","",IF(Dateneingabe!J62="","",Dateneingabe!K62&amp;" "&amp;Dateneingabe!L62))</f>
      </c>
      <c r="H41" s="243">
        <f t="shared" si="12"/>
      </c>
      <c r="I41" s="241">
        <f>IF($I$4="","",IF(F41="","",ROUND(F41*(1+$AF$46*Dateneingabe!$G$5),2)))</f>
      </c>
      <c r="J41" s="244">
        <f>IF($I$4="","",IF(Dateneingabe!J62="","",Dateneingabe!K62&amp;" "&amp;Dateneingabe!L62))</f>
      </c>
      <c r="K41" s="245">
        <f t="shared" si="13"/>
      </c>
      <c r="L41" s="241">
        <f>IF($L$4="","",IF(F41="","",ROUND(F41*(1+$AF$47*Dateneingabe!$G$5),2)))</f>
      </c>
      <c r="M41" s="242">
        <f>IF($L$4="","",IF(Dateneingabe!J62="","",Dateneingabe!K62&amp;" "&amp;Dateneingabe!L62))</f>
      </c>
      <c r="N41" s="246">
        <f t="shared" si="14"/>
      </c>
      <c r="O41" s="213"/>
      <c r="P41" s="207"/>
      <c r="Q41" s="262"/>
      <c r="R41" s="263">
        <f>IF(D41="","",D41)</f>
      </c>
      <c r="S41" s="263"/>
      <c r="T41" s="264">
        <f>IF($D41="","",$D41&amp;"   =   "&amp;B41&amp;" "&amp;Dateneingabe!C62&amp;"   x   "&amp;IF($E41&lt;&gt;"",$E41&amp;" g/St   x   ","")&amp;I41&amp;" €"&amp;Dateneingabe!K62&amp;Dateneingabe!L62&amp;IF($C41="","",IF(VLOOKUP($C41,Faktor,3,0)=0,"","   :   "&amp;VLOOKUP($C41,Faktor,3,0)))&amp;"   =   "&amp;FIXED(B41*IF($E41&lt;&gt;"",$E41/1,1)*I41/IF($C41="",1,IF(VLOOKUP($C41,Faktor,3,0)=0,1,VLOOKUP($C41,Faktor,3,0))),3)&amp;" €")</f>
      </c>
      <c r="U41" s="264"/>
      <c r="V41" s="264"/>
      <c r="W41" s="264"/>
      <c r="X41" s="265"/>
      <c r="Y41" s="204"/>
      <c r="Z41" s="204"/>
      <c r="AA41" s="222"/>
      <c r="AB41" s="203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7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7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</row>
    <row r="42" spans="1:80" ht="16.5" customHeight="1" thickBot="1">
      <c r="A42" s="213"/>
      <c r="B42" s="266"/>
      <c r="C42" s="267"/>
      <c r="D42" s="266" t="s">
        <v>44</v>
      </c>
      <c r="E42" s="268"/>
      <c r="F42" s="380"/>
      <c r="G42" s="381"/>
      <c r="H42" s="269">
        <f>IF(SUM(H31:H41,H19)=0,"",SUM(H31:H41,H19))</f>
        <v>0.9537999999999999</v>
      </c>
      <c r="I42" s="380"/>
      <c r="J42" s="382"/>
      <c r="K42" s="270">
        <f>IF(SUM(K31:K41,K19)=0,"",SUM(K31:K41,K19))</f>
        <v>1.0228</v>
      </c>
      <c r="L42" s="383"/>
      <c r="M42" s="381"/>
      <c r="N42" s="271">
        <f>IF(SUM(N31:N41,N19)=0,"",SUM(N31:N41,N19))</f>
      </c>
      <c r="O42" s="213"/>
      <c r="P42" s="207"/>
      <c r="Q42" s="280"/>
      <c r="R42" s="280"/>
      <c r="S42" s="280"/>
      <c r="T42" s="280"/>
      <c r="U42" s="204"/>
      <c r="V42" s="204"/>
      <c r="W42" s="204"/>
      <c r="X42" s="204"/>
      <c r="Y42" s="204"/>
      <c r="Z42" s="204"/>
      <c r="AA42" s="230"/>
      <c r="AB42" s="203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7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7"/>
      <c r="BS42" s="204"/>
      <c r="BT42" s="204"/>
      <c r="BU42" s="204"/>
      <c r="BV42" s="204"/>
      <c r="BW42" s="204"/>
      <c r="BX42" s="204"/>
      <c r="BY42" s="204"/>
      <c r="BZ42" s="204"/>
      <c r="CA42" s="204"/>
      <c r="CB42" s="204"/>
    </row>
    <row r="43" spans="1:80" ht="16.5" customHeight="1">
      <c r="A43" s="213"/>
      <c r="B43" s="213"/>
      <c r="C43" s="279" t="s">
        <v>76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07"/>
      <c r="Q43" s="219" t="s">
        <v>44</v>
      </c>
      <c r="R43" s="220"/>
      <c r="S43" s="220"/>
      <c r="T43" s="220"/>
      <c r="U43" s="220"/>
      <c r="V43" s="220"/>
      <c r="W43" s="220"/>
      <c r="X43" s="221"/>
      <c r="Y43" s="204"/>
      <c r="Z43" s="204"/>
      <c r="AA43" s="222"/>
      <c r="AB43" s="203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7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7"/>
      <c r="BS43" s="204"/>
      <c r="BT43" s="204"/>
      <c r="BU43" s="204"/>
      <c r="BV43" s="204"/>
      <c r="BW43" s="204"/>
      <c r="BX43" s="204"/>
      <c r="BY43" s="204"/>
      <c r="BZ43" s="204"/>
      <c r="CA43" s="204"/>
      <c r="CB43" s="204"/>
    </row>
    <row r="44" spans="1:80" ht="16.5" customHeight="1">
      <c r="A44" s="213"/>
      <c r="B44" s="213"/>
      <c r="C44" s="279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07"/>
      <c r="Q44" s="368" t="s">
        <v>78</v>
      </c>
      <c r="R44" s="369" t="s">
        <v>48</v>
      </c>
      <c r="S44" s="370" t="str">
        <f>IF(AND(SUM(K31:K41)=0,K19&lt;&gt;""),"ZWISCHENSUMME",IF(D31="","","ZWISCHENSUMMME   +   "&amp;D31)&amp;IF(D32="","","   +   "&amp;D32)&amp;IF(D33="","","   +   "&amp;D33)&amp;IF(D34="","","   +   "&amp;D34)&amp;IF(D35="","","   +   "&amp;D35)&amp;IF(D36="","","   +   "&amp;D36)&amp;IF(D37="","","   +   "&amp;D37)&amp;IF(D38="","","   +   "&amp;D38)&amp;IF(D39="","","   +   "&amp;D39)&amp;IF(D40="","","   +   "&amp;D40)&amp;IF(D41="","","   +   "&amp;D41))</f>
        <v>ZWISCHENSUMME</v>
      </c>
      <c r="T44" s="370"/>
      <c r="U44" s="370"/>
      <c r="V44" s="370"/>
      <c r="W44" s="370"/>
      <c r="X44" s="371"/>
      <c r="Y44" s="204"/>
      <c r="Z44" s="204"/>
      <c r="AA44" s="230"/>
      <c r="AB44" s="203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7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7"/>
      <c r="BS44" s="204"/>
      <c r="BT44" s="204"/>
      <c r="BU44" s="204"/>
      <c r="BV44" s="204"/>
      <c r="BW44" s="204"/>
      <c r="BX44" s="204"/>
      <c r="BY44" s="204"/>
      <c r="BZ44" s="204"/>
      <c r="CA44" s="204"/>
      <c r="CB44" s="204"/>
    </row>
    <row r="45" spans="1:80" ht="16.5" customHeight="1">
      <c r="A45" s="280"/>
      <c r="B45" s="280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07"/>
      <c r="Q45" s="368"/>
      <c r="R45" s="369"/>
      <c r="S45" s="370"/>
      <c r="T45" s="370"/>
      <c r="U45" s="370"/>
      <c r="V45" s="370"/>
      <c r="W45" s="370"/>
      <c r="X45" s="371"/>
      <c r="Y45" s="204"/>
      <c r="Z45" s="204"/>
      <c r="AA45" s="222"/>
      <c r="AB45" s="203"/>
      <c r="AC45" s="204"/>
      <c r="AD45" s="204"/>
      <c r="AE45" s="204"/>
      <c r="AF45" s="297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7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7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</row>
    <row r="46" spans="1:80" ht="16.5" customHeight="1">
      <c r="A46" s="280"/>
      <c r="B46" s="280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07"/>
      <c r="Q46" s="372" t="s">
        <v>78</v>
      </c>
      <c r="R46" s="374" t="s">
        <v>48</v>
      </c>
      <c r="S46" s="376" t="str">
        <f>IF(AND(SUM(K31:K41)=0,K19&lt;&gt;""),DOLLAR(K19,3),IF(K31="","",DOLLAR(K19,3)&amp;"   +   "&amp;DOLLAR(K31,3))&amp;IF(K32="","","   +   "&amp;DOLLAR(K32,3))&amp;IF(K33="","","   +   "&amp;DOLLAR(K33,3))&amp;IF(K34="","","   +   "&amp;DOLLAR(K34,3))&amp;IF(K35="","","   +   "&amp;DOLLAR(K35,3))&amp;IF(K36="","","   +   "&amp;DOLLAR(K36,3))&amp;IF(K37="","","   +   "&amp;DOLLAR(K37,3))&amp;IF(K38="","","   +   "&amp;DOLLAR(K38,3))&amp;IF(K39="","","   +   "&amp;DOLLAR(K39,3))&amp;IF(K40="","","   +   "&amp;DOLLAR(K40,3))&amp;IF(K41="","","   +   "&amp;DOLLAR(K41,3))&amp;IF(K42="","","   +   "&amp;DOLLAR(K42,3))&amp;"   =   "&amp;DOLLAR(SUM(K19,K31:K41),3))</f>
        <v>1,023 €</v>
      </c>
      <c r="T46" s="376"/>
      <c r="U46" s="376"/>
      <c r="V46" s="376"/>
      <c r="W46" s="376"/>
      <c r="X46" s="377"/>
      <c r="Y46" s="204"/>
      <c r="Z46" s="204"/>
      <c r="AA46" s="230"/>
      <c r="AB46" s="203"/>
      <c r="AC46" s="204"/>
      <c r="AD46" s="204"/>
      <c r="AE46" s="204"/>
      <c r="AF46" s="281">
        <f>IF(Berechnung!I46="","",Berechnung!I46)</f>
        <v>2.6</v>
      </c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7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7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</row>
    <row r="47" spans="1:80" ht="16.5" customHeight="1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07"/>
      <c r="Q47" s="373"/>
      <c r="R47" s="375"/>
      <c r="S47" s="378"/>
      <c r="T47" s="378"/>
      <c r="U47" s="378"/>
      <c r="V47" s="378"/>
      <c r="W47" s="378"/>
      <c r="X47" s="379"/>
      <c r="Y47" s="204"/>
      <c r="Z47" s="204"/>
      <c r="AA47" s="222"/>
      <c r="AB47" s="203"/>
      <c r="AC47" s="204"/>
      <c r="AD47" s="204"/>
      <c r="AE47" s="204"/>
      <c r="AF47" s="281">
        <f>IF(Berechnung!L46="","",Berechnung!L46)</f>
        <v>3.8</v>
      </c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7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7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</row>
    <row r="48" spans="1:80" ht="12.75" customHeight="1">
      <c r="A48" s="280"/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280"/>
      <c r="AS48" s="280"/>
      <c r="AT48" s="280"/>
      <c r="AU48" s="280"/>
      <c r="AV48" s="280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0"/>
      <c r="BQ48" s="280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0"/>
    </row>
  </sheetData>
  <sheetProtection sheet="1"/>
  <mergeCells count="72">
    <mergeCell ref="P1:Z1"/>
    <mergeCell ref="AR1:BA1"/>
    <mergeCell ref="BR1:CA1"/>
    <mergeCell ref="B3:E4"/>
    <mergeCell ref="I3:K3"/>
    <mergeCell ref="L3:N3"/>
    <mergeCell ref="AD3:AG4"/>
    <mergeCell ref="AK3:AM3"/>
    <mergeCell ref="AN3:AP3"/>
    <mergeCell ref="BD3:BG4"/>
    <mergeCell ref="BK3:BM3"/>
    <mergeCell ref="BN3:BP3"/>
    <mergeCell ref="F4:H4"/>
    <mergeCell ref="I4:K4"/>
    <mergeCell ref="L4:N4"/>
    <mergeCell ref="AH4:AJ4"/>
    <mergeCell ref="AK4:AM4"/>
    <mergeCell ref="AN4:AP4"/>
    <mergeCell ref="BH4:BJ4"/>
    <mergeCell ref="BK4:BM4"/>
    <mergeCell ref="BN4:BP4"/>
    <mergeCell ref="F5:G5"/>
    <mergeCell ref="I5:J5"/>
    <mergeCell ref="L5:M5"/>
    <mergeCell ref="AH5:AI5"/>
    <mergeCell ref="AK5:AL5"/>
    <mergeCell ref="AN5:AO5"/>
    <mergeCell ref="BH5:BI5"/>
    <mergeCell ref="BK5:BL5"/>
    <mergeCell ref="BN5:BO5"/>
    <mergeCell ref="R6:X6"/>
    <mergeCell ref="AT6:AZ6"/>
    <mergeCell ref="BS7:BS8"/>
    <mergeCell ref="BT7:BZ8"/>
    <mergeCell ref="BH18:BI18"/>
    <mergeCell ref="BK18:BL18"/>
    <mergeCell ref="BN18:BO18"/>
    <mergeCell ref="F19:G19"/>
    <mergeCell ref="I19:J19"/>
    <mergeCell ref="L19:M19"/>
    <mergeCell ref="AH19:AI19"/>
    <mergeCell ref="AK19:AL19"/>
    <mergeCell ref="AN19:AO19"/>
    <mergeCell ref="Q21:Q22"/>
    <mergeCell ref="R21:R22"/>
    <mergeCell ref="S21:X22"/>
    <mergeCell ref="AS21:AS22"/>
    <mergeCell ref="AT21:AT22"/>
    <mergeCell ref="AU21:AZ22"/>
    <mergeCell ref="BS22:BS23"/>
    <mergeCell ref="BT22:BT23"/>
    <mergeCell ref="BU22:BZ23"/>
    <mergeCell ref="Q23:Q24"/>
    <mergeCell ref="R23:R24"/>
    <mergeCell ref="S23:X24"/>
    <mergeCell ref="AS23:AS24"/>
    <mergeCell ref="AT23:AT24"/>
    <mergeCell ref="AU23:AZ24"/>
    <mergeCell ref="BS24:BS25"/>
    <mergeCell ref="BT24:BT25"/>
    <mergeCell ref="BU24:BZ25"/>
    <mergeCell ref="Q29:Q30"/>
    <mergeCell ref="R29:X30"/>
    <mergeCell ref="F42:G42"/>
    <mergeCell ref="I42:J42"/>
    <mergeCell ref="L42:M42"/>
    <mergeCell ref="Q44:Q45"/>
    <mergeCell ref="R44:R45"/>
    <mergeCell ref="S44:X45"/>
    <mergeCell ref="Q46:Q47"/>
    <mergeCell ref="R46:R47"/>
    <mergeCell ref="S46:X47"/>
  </mergeCells>
  <conditionalFormatting sqref="K8:K17 K32:K40">
    <cfRule type="expression" priority="17" dxfId="40" stopIfTrue="1">
      <formula>$D8=""</formula>
    </cfRule>
  </conditionalFormatting>
  <conditionalFormatting sqref="BM8:BM16">
    <cfRule type="expression" priority="15" dxfId="40" stopIfTrue="1">
      <formula>$BF8=""</formula>
    </cfRule>
  </conditionalFormatting>
  <conditionalFormatting sqref="K41">
    <cfRule type="expression" priority="13" dxfId="41" stopIfTrue="1">
      <formula>$D41=""</formula>
    </cfRule>
  </conditionalFormatting>
  <conditionalFormatting sqref="BM17">
    <cfRule type="expression" priority="12" dxfId="41" stopIfTrue="1">
      <formula>$BF17=""</formula>
    </cfRule>
  </conditionalFormatting>
  <conditionalFormatting sqref="K7">
    <cfRule type="expression" priority="10" dxfId="42">
      <formula>$D7=""</formula>
    </cfRule>
  </conditionalFormatting>
  <conditionalFormatting sqref="K18">
    <cfRule type="expression" priority="9" dxfId="41" stopIfTrue="1">
      <formula>$D18=""</formula>
    </cfRule>
  </conditionalFormatting>
  <conditionalFormatting sqref="K31">
    <cfRule type="expression" priority="8" dxfId="42">
      <formula>$D31=""</formula>
    </cfRule>
  </conditionalFormatting>
  <conditionalFormatting sqref="AM8:AM17">
    <cfRule type="expression" priority="4" dxfId="40" stopIfTrue="1">
      <formula>$D8=""</formula>
    </cfRule>
  </conditionalFormatting>
  <conditionalFormatting sqref="AM7">
    <cfRule type="expression" priority="3" dxfId="42">
      <formula>$D7=""</formula>
    </cfRule>
  </conditionalFormatting>
  <conditionalFormatting sqref="AM18">
    <cfRule type="expression" priority="2" dxfId="41" stopIfTrue="1">
      <formula>$D18=""</formula>
    </cfRule>
  </conditionalFormatting>
  <conditionalFormatting sqref="BM7">
    <cfRule type="expression" priority="1" dxfId="42" stopIfTrue="1">
      <formula>$BF7=""</formula>
    </cfRule>
  </conditionalFormatting>
  <printOptions horizontalCentered="1"/>
  <pageMargins left="0.1968503937007874" right="0.1968503937007874" top="0.5905511811023623" bottom="0" header="0" footer="0"/>
  <pageSetup blackAndWhite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tabColor rgb="FFFFC000"/>
  </sheetPr>
  <dimension ref="A1:F124"/>
  <sheetViews>
    <sheetView showGridLines="0" showRowColHeaders="0" zoomScalePageLayoutView="0" workbookViewId="0" topLeftCell="A1">
      <pane ySplit="5" topLeftCell="A6" activePane="bottomLeft" state="frozen"/>
      <selection pane="topLeft" activeCell="B4" sqref="B4:C4"/>
      <selection pane="bottomLeft" activeCell="B4" sqref="B4:C4"/>
    </sheetView>
  </sheetViews>
  <sheetFormatPr defaultColWidth="0" defaultRowHeight="11.25" customHeight="1" zeroHeight="1"/>
  <cols>
    <col min="1" max="1" width="11.421875" style="0" customWidth="1"/>
    <col min="2" max="2" width="9.7109375" style="0" customWidth="1"/>
    <col min="3" max="3" width="78.28125" style="0" customWidth="1"/>
    <col min="4" max="4" width="11.421875" style="0" customWidth="1"/>
    <col min="5" max="16384" width="11.421875" style="0" hidden="1" customWidth="1"/>
  </cols>
  <sheetData>
    <row r="1" spans="1:6" ht="24.75" customHeight="1">
      <c r="A1" s="282" t="s">
        <v>79</v>
      </c>
      <c r="B1" s="282"/>
      <c r="C1" s="283"/>
      <c r="D1" s="283"/>
      <c r="E1" s="196"/>
      <c r="F1" s="196"/>
    </row>
    <row r="2" spans="1:6" ht="30" customHeight="1">
      <c r="A2" s="54"/>
      <c r="B2" s="54"/>
      <c r="C2" s="196"/>
      <c r="D2" s="196"/>
      <c r="E2" s="196"/>
      <c r="F2" s="196"/>
    </row>
    <row r="3" spans="1:6" ht="15">
      <c r="A3" s="5"/>
      <c r="B3" s="5"/>
      <c r="C3" s="5"/>
      <c r="D3" s="5"/>
      <c r="E3" s="196"/>
      <c r="F3" s="196"/>
    </row>
    <row r="4" spans="1:6" ht="19.5" customHeight="1">
      <c r="A4" s="5"/>
      <c r="B4" s="406" t="s">
        <v>80</v>
      </c>
      <c r="C4" s="407"/>
      <c r="D4" s="5"/>
      <c r="E4" s="196"/>
      <c r="F4" s="196"/>
    </row>
    <row r="5" spans="1:6" ht="15">
      <c r="A5" s="5"/>
      <c r="B5" s="5"/>
      <c r="C5" s="5"/>
      <c r="D5" s="5"/>
      <c r="E5" s="196"/>
      <c r="F5" s="196"/>
    </row>
    <row r="6" spans="1:6" ht="48" customHeight="1">
      <c r="A6" s="5"/>
      <c r="B6" s="408" t="str">
        <f>"Wareneinsatzermittlung für '"&amp;IF(Dateneingabe!C9="","",Dateneingabe!C9)&amp;"'"</f>
        <v>Wareneinsatzermittlung für 'Salade russe '</v>
      </c>
      <c r="C6" s="408"/>
      <c r="D6" s="5"/>
      <c r="E6" s="196"/>
      <c r="F6" s="196"/>
    </row>
    <row r="7" spans="1:6" ht="24.75" customHeight="1">
      <c r="A7" s="5"/>
      <c r="B7" s="284"/>
      <c r="C7" s="284"/>
      <c r="D7" s="5"/>
      <c r="E7" s="196"/>
      <c r="F7" s="196"/>
    </row>
    <row r="8" spans="1:6" ht="45.75" customHeight="1">
      <c r="A8" s="5"/>
      <c r="B8" s="409" t="str">
        <f>"In "&amp;IF(B4="","",VLOOKUP(B4,BDB,4,0)&amp;" "&amp;IF(B4="","",B4&amp;" werden "&amp;(B6)&amp;" angeboten. Die Zutaten und die Preise für die verschiedenen Zutaten sind unten angeführt. Wie hoch ist der Wareneinsatz für die angebotene Speise?"))</f>
        <v>In einem Hotelrestaurant werden Wareneinsatzermittlung für 'Salade russe ' angeboten. Die Zutaten und die Preise für die verschiedenen Zutaten sind unten angeführt. Wie hoch ist der Wareneinsatz für die angebotene Speise?</v>
      </c>
      <c r="C8" s="409"/>
      <c r="D8" s="5"/>
      <c r="E8" s="196"/>
      <c r="F8" s="196"/>
    </row>
    <row r="9" spans="1:6" ht="30" customHeight="1">
      <c r="A9" s="5"/>
      <c r="B9" s="284"/>
      <c r="C9" s="284"/>
      <c r="D9" s="5"/>
      <c r="E9" s="196"/>
      <c r="F9" s="196"/>
    </row>
    <row r="10" spans="1:6" ht="19.5" customHeight="1">
      <c r="A10" s="5"/>
      <c r="B10" s="286" t="s">
        <v>81</v>
      </c>
      <c r="C10" s="287"/>
      <c r="D10" s="5"/>
      <c r="E10" s="196"/>
      <c r="F10" s="196"/>
    </row>
    <row r="11" spans="1:6" ht="15.75">
      <c r="A11" s="5"/>
      <c r="B11" s="288" t="s">
        <v>82</v>
      </c>
      <c r="C11" s="288" t="str">
        <f>Dateneingabe!P15</f>
        <v>Salade russe</v>
      </c>
      <c r="D11" s="5"/>
      <c r="E11" s="196"/>
      <c r="F11" s="196"/>
    </row>
    <row r="12" spans="1:6" ht="45">
      <c r="A12" s="5"/>
      <c r="B12" s="289" t="s">
        <v>83</v>
      </c>
      <c r="C12" s="285" t="str">
        <f>Dateneingabe!T16&amp;Dateneingabe!T18&amp;Dateneingabe!T20&amp;Dateneingabe!T22&amp;Dateneingabe!T24&amp;Dateneingabe!T26&amp;Dateneingabe!T28&amp;Dateneingabe!T30&amp;Dateneingabe!T32&amp;Dateneingabe!T34&amp;Dateneingabe!T36&amp;Dateneingabe!T38</f>
        <v>Karotten: 40 g, Sellerie: 40 g, grüne Bohnen: 40 g, Kartoffel, gekocht: 40 g, Erbsen, gekocht: 40 g, Essiggurken: 40 g, Äpfel: 40 g, Majonäse: 0,1 l, Jogurt: 0,05 l, Gewürze (Salz, Pfeffer, Senf): 1.   </v>
      </c>
      <c r="D12" s="5"/>
      <c r="E12" s="196"/>
      <c r="F12" s="196"/>
    </row>
    <row r="13" spans="1:6" ht="9.75" customHeight="1">
      <c r="A13" s="5"/>
      <c r="B13" s="284"/>
      <c r="C13" s="284"/>
      <c r="D13" s="5"/>
      <c r="E13" s="196"/>
      <c r="F13" s="196"/>
    </row>
    <row r="14" spans="1:6" ht="60">
      <c r="A14" s="5"/>
      <c r="B14" s="289" t="s">
        <v>84</v>
      </c>
      <c r="C14" s="285" t="str">
        <f>Dateneingabe!Y16&amp;Dateneingabe!Y18&amp;Dateneingabe!Y20&amp;Dateneingabe!Y22&amp;Dateneingabe!Y24&amp;Dateneingabe!Y26&amp;Dateneingabe!Y28&amp;Dateneingabe!Y30&amp;Dateneingabe!Y32&amp;Dateneingabe!Y34&amp;Dateneingabe!Y36&amp;Dateneingabe!Y38</f>
        <v>Karotten: 0,90 €/kg, Sellerie: 1,60 €/kg, grüne Bohnen: 0,92 €/kg, Kartoffel, gekocht: 0,72 €/kg, Erbsen, gekocht: 1,18 €/kg, Essiggurken: 4,10 €/kg, Äpfel: 0,85 €/kg, Majonäse: 3,63 €/l, Jogurt: 1,80 €/l, Gewürze (Salz, Pfeffer, Senf): 0,09.   </v>
      </c>
      <c r="D14" s="5"/>
      <c r="E14" s="196"/>
      <c r="F14" s="196"/>
    </row>
    <row r="15" spans="1:6" ht="15" customHeight="1">
      <c r="A15" s="5"/>
      <c r="B15" s="284"/>
      <c r="C15" s="284"/>
      <c r="D15" s="5"/>
      <c r="E15" s="196"/>
      <c r="F15" s="196"/>
    </row>
    <row r="16" spans="1:6" ht="15.75">
      <c r="A16" s="5"/>
      <c r="B16" s="288" t="s">
        <v>85</v>
      </c>
      <c r="C16" s="288">
        <f>Dateneingabe!P41</f>
      </c>
      <c r="D16" s="5"/>
      <c r="E16" s="196"/>
      <c r="F16" s="196"/>
    </row>
    <row r="17" spans="1:6" ht="15">
      <c r="A17" s="5"/>
      <c r="B17" s="289" t="s">
        <v>83</v>
      </c>
      <c r="C17" s="285" t="str">
        <f>Dateneingabe!T42&amp;Dateneingabe!T44&amp;Dateneingabe!T46&amp;Dateneingabe!T48&amp;Dateneingabe!T50&amp;Dateneingabe!T52&amp;Dateneingabe!T54&amp;Dateneingabe!T56&amp;Dateneingabe!T58&amp;Dateneingabe!T60&amp;Dateneingabe!T62</f>
        <v>           </v>
      </c>
      <c r="D17" s="5"/>
      <c r="E17" s="196"/>
      <c r="F17" s="196"/>
    </row>
    <row r="18" spans="1:6" ht="9.75" customHeight="1">
      <c r="A18" s="5"/>
      <c r="B18" s="284"/>
      <c r="C18" s="284"/>
      <c r="D18" s="5"/>
      <c r="E18" s="196"/>
      <c r="F18" s="196"/>
    </row>
    <row r="19" spans="1:6" ht="15">
      <c r="A19" s="5"/>
      <c r="B19" s="289" t="s">
        <v>84</v>
      </c>
      <c r="C19" s="285" t="str">
        <f>Dateneingabe!Y42&amp;Dateneingabe!Y44&amp;Dateneingabe!Y46&amp;Dateneingabe!Y48&amp;Dateneingabe!Y50&amp;Dateneingabe!Y52&amp;Dateneingabe!Y54&amp;Dateneingabe!Y56&amp;Dateneingabe!Y58&amp;Dateneingabe!Y60&amp;Dateneingabe!Y62</f>
        <v>           </v>
      </c>
      <c r="D19" s="5"/>
      <c r="E19" s="196"/>
      <c r="F19" s="196"/>
    </row>
    <row r="20" spans="1:6" ht="15">
      <c r="A20" s="5"/>
      <c r="B20" s="289"/>
      <c r="C20" s="290"/>
      <c r="D20" s="5"/>
      <c r="E20" s="196"/>
      <c r="F20" s="196"/>
    </row>
    <row r="21" spans="1:6" ht="15">
      <c r="A21" s="5"/>
      <c r="B21" s="289">
        <f>IF(AND(Dateneingabe!AD40="",Dateneingabe!AD63=""),"","Für folgende Zutaten sind Stückgewichte zu bachten:")</f>
      </c>
      <c r="C21" s="290"/>
      <c r="D21" s="5"/>
      <c r="E21" s="196"/>
      <c r="F21" s="196"/>
    </row>
    <row r="22" spans="1:6" ht="15">
      <c r="A22" s="5"/>
      <c r="B22" s="410">
        <f>IF(Dateneingabe!AD40="","",Dateneingabe!AD40&amp;" ")&amp;IF(Dateneingabe!AD63="","",Dateneingabe!AD63)</f>
      </c>
      <c r="C22" s="410"/>
      <c r="D22" s="5"/>
      <c r="E22" s="196"/>
      <c r="F22" s="196"/>
    </row>
    <row r="23" spans="1:6" ht="30" customHeight="1">
      <c r="A23" s="5"/>
      <c r="B23" s="5"/>
      <c r="C23" s="5"/>
      <c r="D23" s="5"/>
      <c r="E23" s="196"/>
      <c r="F23" s="196"/>
    </row>
    <row r="24" spans="1:6" ht="19.5" customHeight="1">
      <c r="A24" s="5"/>
      <c r="B24" s="286" t="s">
        <v>86</v>
      </c>
      <c r="C24" s="286"/>
      <c r="D24" s="5"/>
      <c r="E24" s="196"/>
      <c r="F24" s="196"/>
    </row>
    <row r="25" spans="1:6" ht="15.75">
      <c r="A25" s="5"/>
      <c r="B25" s="291" t="s">
        <v>87</v>
      </c>
      <c r="C25" s="292" t="s">
        <v>88</v>
      </c>
      <c r="D25" s="5"/>
      <c r="E25" s="196"/>
      <c r="F25" s="196"/>
    </row>
    <row r="26" spans="1:6" ht="30.75">
      <c r="A26" s="5"/>
      <c r="B26" s="291" t="s">
        <v>87</v>
      </c>
      <c r="C26" s="292" t="str">
        <f>"Berechne den Wareneinsatz (WES) für das Gericht und für die Beilage für das Jahr "&amp;IF(Dateneingabe!M1="","",YEAR(Dateneingabe!M1))</f>
        <v>Berechne den Wareneinsatz (WES) für das Gericht und für die Beilage für das Jahr 2013</v>
      </c>
      <c r="D26" s="5"/>
      <c r="E26" s="196"/>
      <c r="F26" s="196"/>
    </row>
    <row r="27" spans="1:6" ht="15.75">
      <c r="A27" s="5"/>
      <c r="B27" s="291" t="s">
        <v>87</v>
      </c>
      <c r="C27" s="292" t="str">
        <f>"Ermittle den gesamten Warteneinsatz für die Speisefür das Jahr "&amp;IF(Dateneingabe!M1="","",YEAR(Dateneingabe!M1))</f>
        <v>Ermittle den gesamten Warteneinsatz für die Speisefür das Jahr 2013</v>
      </c>
      <c r="D27" s="5"/>
      <c r="E27" s="196"/>
      <c r="F27" s="196"/>
    </row>
    <row r="28" spans="1:6" ht="15.75">
      <c r="A28" s="5"/>
      <c r="B28" s="291"/>
      <c r="C28" s="292"/>
      <c r="D28" s="5"/>
      <c r="E28" s="196"/>
      <c r="F28" s="196"/>
    </row>
    <row r="29" spans="1:6" ht="30.75">
      <c r="A29" s="5"/>
      <c r="B29" s="291" t="s">
        <v>87</v>
      </c>
      <c r="C29" s="292" t="str">
        <f>"Berechne die Warenpreise für die verschiednen Zutaten für das Jahr "&amp;IF(Dateneingabe!M1="","",YEAR(Dateneingabe!M1)+1)&amp;" wenn die Preise um "&amp;IF(Dateneingabe!G5="","",ROUND(Dateneingabe!G5*100,2))&amp;"% steigen."</f>
        <v>Berechne die Warenpreise für die verschiednen Zutaten für das Jahr 2014 wenn die Preise um 2,6% steigen.</v>
      </c>
      <c r="D29" s="5"/>
      <c r="E29" s="196"/>
      <c r="F29" s="196"/>
    </row>
    <row r="30" spans="1:6" ht="30.75">
      <c r="A30" s="5"/>
      <c r="B30" s="291" t="s">
        <v>87</v>
      </c>
      <c r="C30" s="292" t="str">
        <f>"Berechne den Wareneinsatz (WES) für das Gericht und für die Beilage für das Jahr "&amp;IF(Dateneingabe!M1="","",YEAR(Dateneingabe!M1)+1)</f>
        <v>Berechne den Wareneinsatz (WES) für das Gericht und für die Beilage für das Jahr 2014</v>
      </c>
      <c r="D30" s="5"/>
      <c r="E30" s="196"/>
      <c r="F30" s="196"/>
    </row>
    <row r="31" spans="1:6" ht="15.75">
      <c r="A31" s="5"/>
      <c r="B31" s="291" t="s">
        <v>87</v>
      </c>
      <c r="C31" s="292" t="str">
        <f>"Ermittle den gesamten Warteneinsatz für die Speisefür das Jahr "&amp;IF(Dateneingabe!M1="","",YEAR(Dateneingabe!M1)+1)</f>
        <v>Ermittle den gesamten Warteneinsatz für die Speisefür das Jahr 2014</v>
      </c>
      <c r="D31" s="5"/>
      <c r="E31" s="196"/>
      <c r="F31" s="196"/>
    </row>
    <row r="32" spans="1:6" ht="30" customHeight="1">
      <c r="A32" s="5"/>
      <c r="B32" s="5"/>
      <c r="C32" s="5"/>
      <c r="D32" s="5"/>
      <c r="E32" s="196"/>
      <c r="F32" s="196"/>
    </row>
    <row r="33" spans="1:6" ht="22.5" customHeight="1">
      <c r="A33" s="5"/>
      <c r="B33" s="411" t="s">
        <v>89</v>
      </c>
      <c r="C33" s="411"/>
      <c r="D33" s="5"/>
      <c r="E33" s="196"/>
      <c r="F33" s="196"/>
    </row>
    <row r="34" spans="1:6" ht="15">
      <c r="A34" s="5"/>
      <c r="B34" s="5"/>
      <c r="C34" s="5"/>
      <c r="D34" s="5"/>
      <c r="E34" s="196"/>
      <c r="F34" s="196"/>
    </row>
    <row r="35" spans="1:6" ht="19.5" customHeight="1">
      <c r="A35" s="5"/>
      <c r="B35" s="5"/>
      <c r="C35" s="5"/>
      <c r="D35" s="5"/>
      <c r="E35" s="196"/>
      <c r="F35" s="196"/>
    </row>
    <row r="36" spans="1:6" ht="19.5" customHeight="1">
      <c r="A36" s="5"/>
      <c r="B36" s="5"/>
      <c r="C36" s="5"/>
      <c r="D36" s="5"/>
      <c r="E36" s="196"/>
      <c r="F36" s="196"/>
    </row>
    <row r="37" spans="1:6" ht="19.5" customHeight="1">
      <c r="A37" s="5"/>
      <c r="B37" s="5"/>
      <c r="C37" s="5"/>
      <c r="D37" s="5"/>
      <c r="E37" s="196"/>
      <c r="F37" s="196"/>
    </row>
    <row r="38" spans="1:6" ht="19.5" customHeight="1">
      <c r="A38" s="5"/>
      <c r="B38" s="5"/>
      <c r="C38" s="5"/>
      <c r="D38" s="5"/>
      <c r="E38" s="196"/>
      <c r="F38" s="196"/>
    </row>
    <row r="39" spans="1:6" ht="19.5" customHeight="1">
      <c r="A39" s="5"/>
      <c r="B39" s="5"/>
      <c r="C39" s="5"/>
      <c r="D39" s="5"/>
      <c r="E39" s="196"/>
      <c r="F39" s="196"/>
    </row>
    <row r="40" spans="1:6" ht="19.5" customHeight="1">
      <c r="A40" s="5"/>
      <c r="B40" s="5"/>
      <c r="C40" s="5"/>
      <c r="D40" s="5"/>
      <c r="E40" s="196"/>
      <c r="F40" s="196"/>
    </row>
    <row r="41" spans="1:6" ht="19.5" customHeight="1">
      <c r="A41" s="5"/>
      <c r="B41" s="5"/>
      <c r="C41" s="5"/>
      <c r="D41" s="5"/>
      <c r="E41" s="196"/>
      <c r="F41" s="196"/>
    </row>
    <row r="42" spans="1:6" ht="19.5" customHeight="1">
      <c r="A42" s="5"/>
      <c r="B42" s="5"/>
      <c r="C42" s="5"/>
      <c r="D42" s="5"/>
      <c r="E42" s="196"/>
      <c r="F42" s="196"/>
    </row>
    <row r="43" spans="1:6" ht="19.5" customHeight="1">
      <c r="A43" s="5"/>
      <c r="B43" s="5"/>
      <c r="C43" s="5"/>
      <c r="D43" s="5"/>
      <c r="E43" s="196"/>
      <c r="F43" s="196"/>
    </row>
    <row r="44" spans="1:6" ht="19.5" customHeight="1">
      <c r="A44" s="5"/>
      <c r="B44" s="5"/>
      <c r="C44" s="5"/>
      <c r="D44" s="5"/>
      <c r="E44" s="196"/>
      <c r="F44" s="196"/>
    </row>
    <row r="45" spans="1:6" ht="19.5" customHeight="1">
      <c r="A45" s="5"/>
      <c r="B45" s="5"/>
      <c r="C45" s="5"/>
      <c r="D45" s="5"/>
      <c r="E45" s="196"/>
      <c r="F45" s="196"/>
    </row>
    <row r="46" spans="1:6" ht="19.5" customHeight="1">
      <c r="A46" s="5"/>
      <c r="B46" s="5"/>
      <c r="C46" s="5"/>
      <c r="D46" s="5"/>
      <c r="E46" s="196"/>
      <c r="F46" s="196"/>
    </row>
    <row r="47" spans="1:6" ht="19.5" customHeight="1">
      <c r="A47" s="5"/>
      <c r="B47" s="5"/>
      <c r="C47" s="5"/>
      <c r="D47" s="5"/>
      <c r="E47" s="196"/>
      <c r="F47" s="196"/>
    </row>
    <row r="48" spans="1:6" ht="19.5" customHeight="1">
      <c r="A48" s="5"/>
      <c r="B48" s="5"/>
      <c r="C48" s="5"/>
      <c r="D48" s="5"/>
      <c r="E48" s="196"/>
      <c r="F48" s="196"/>
    </row>
    <row r="49" spans="1:6" ht="19.5" customHeight="1">
      <c r="A49" s="5"/>
      <c r="B49" s="5"/>
      <c r="C49" s="5"/>
      <c r="D49" s="5"/>
      <c r="E49" s="196"/>
      <c r="F49" s="196"/>
    </row>
    <row r="50" spans="1:6" ht="19.5" customHeight="1">
      <c r="A50" s="5"/>
      <c r="B50" s="5"/>
      <c r="C50" s="5"/>
      <c r="D50" s="5"/>
      <c r="E50" s="196"/>
      <c r="F50" s="196"/>
    </row>
    <row r="51" spans="1:6" ht="19.5" customHeight="1">
      <c r="A51" s="5"/>
      <c r="B51" s="5"/>
      <c r="C51" s="5"/>
      <c r="D51" s="5"/>
      <c r="E51" s="196"/>
      <c r="F51" s="196"/>
    </row>
    <row r="52" spans="1:6" ht="19.5" customHeight="1">
      <c r="A52" s="5"/>
      <c r="B52" s="5"/>
      <c r="C52" s="5"/>
      <c r="D52" s="5"/>
      <c r="E52" s="196"/>
      <c r="F52" s="196"/>
    </row>
    <row r="53" spans="1:6" ht="19.5" customHeight="1">
      <c r="A53" s="5"/>
      <c r="B53" s="5"/>
      <c r="C53" s="5"/>
      <c r="D53" s="5"/>
      <c r="E53" s="196"/>
      <c r="F53" s="196"/>
    </row>
    <row r="54" spans="1:6" ht="19.5" customHeight="1">
      <c r="A54" s="5"/>
      <c r="B54" s="5"/>
      <c r="C54" s="5"/>
      <c r="D54" s="5"/>
      <c r="E54" s="196"/>
      <c r="F54" s="196"/>
    </row>
    <row r="55" spans="1:6" ht="19.5" customHeight="1">
      <c r="A55" s="5"/>
      <c r="B55" s="5"/>
      <c r="C55" s="5"/>
      <c r="D55" s="5"/>
      <c r="E55" s="196"/>
      <c r="F55" s="196"/>
    </row>
    <row r="56" spans="1:6" ht="19.5" customHeight="1">
      <c r="A56" s="5"/>
      <c r="B56" s="5"/>
      <c r="C56" s="5"/>
      <c r="D56" s="5"/>
      <c r="E56" s="196"/>
      <c r="F56" s="196"/>
    </row>
    <row r="57" spans="1:6" ht="19.5" customHeight="1">
      <c r="A57" s="5"/>
      <c r="B57" s="5"/>
      <c r="C57" s="5"/>
      <c r="D57" s="5"/>
      <c r="E57" s="196"/>
      <c r="F57" s="196"/>
    </row>
    <row r="58" spans="1:6" ht="19.5" customHeight="1">
      <c r="A58" s="5"/>
      <c r="B58" s="5"/>
      <c r="C58" s="5"/>
      <c r="D58" s="5"/>
      <c r="E58" s="196"/>
      <c r="F58" s="196"/>
    </row>
    <row r="59" spans="1:6" ht="19.5" customHeight="1">
      <c r="A59" s="5"/>
      <c r="B59" s="5"/>
      <c r="C59" s="5"/>
      <c r="D59" s="5"/>
      <c r="E59" s="196"/>
      <c r="F59" s="196"/>
    </row>
    <row r="60" spans="1:6" ht="19.5" customHeight="1">
      <c r="A60" s="5"/>
      <c r="B60" s="5"/>
      <c r="C60" s="5"/>
      <c r="D60" s="5"/>
      <c r="E60" s="196"/>
      <c r="F60" s="196"/>
    </row>
    <row r="61" spans="1:6" ht="19.5" customHeight="1">
      <c r="A61" s="5"/>
      <c r="B61" s="5"/>
      <c r="C61" s="5"/>
      <c r="D61" s="5"/>
      <c r="E61" s="196"/>
      <c r="F61" s="196"/>
    </row>
    <row r="62" spans="1:6" ht="19.5" customHeight="1">
      <c r="A62" s="5"/>
      <c r="B62" s="5"/>
      <c r="C62" s="5"/>
      <c r="D62" s="5"/>
      <c r="E62" s="196"/>
      <c r="F62" s="196"/>
    </row>
    <row r="63" spans="1:6" ht="19.5" customHeight="1">
      <c r="A63" s="5"/>
      <c r="B63" s="5"/>
      <c r="C63" s="5"/>
      <c r="D63" s="5"/>
      <c r="E63" s="196"/>
      <c r="F63" s="196"/>
    </row>
    <row r="64" spans="1:6" ht="19.5" customHeight="1">
      <c r="A64" s="5"/>
      <c r="B64" s="5"/>
      <c r="C64" s="5"/>
      <c r="D64" s="5"/>
      <c r="E64" s="196"/>
      <c r="F64" s="196"/>
    </row>
    <row r="65" spans="1:6" ht="19.5" customHeight="1">
      <c r="A65" s="5"/>
      <c r="B65" s="5"/>
      <c r="C65" s="5"/>
      <c r="D65" s="5"/>
      <c r="E65" s="196"/>
      <c r="F65" s="196"/>
    </row>
    <row r="66" spans="1:6" ht="19.5" customHeight="1">
      <c r="A66" s="5"/>
      <c r="B66" s="5"/>
      <c r="C66" s="5"/>
      <c r="D66" s="5"/>
      <c r="E66" s="196"/>
      <c r="F66" s="196"/>
    </row>
    <row r="67" spans="1:6" ht="19.5" customHeight="1">
      <c r="A67" s="5"/>
      <c r="B67" s="5"/>
      <c r="C67" s="5"/>
      <c r="D67" s="5"/>
      <c r="E67" s="196"/>
      <c r="F67" s="196"/>
    </row>
    <row r="68" spans="1:6" ht="19.5" customHeight="1">
      <c r="A68" s="5"/>
      <c r="B68" s="5"/>
      <c r="C68" s="5"/>
      <c r="D68" s="5"/>
      <c r="E68" s="196"/>
      <c r="F68" s="196"/>
    </row>
    <row r="69" spans="1:6" ht="15">
      <c r="A69" s="5"/>
      <c r="B69" s="5"/>
      <c r="C69" s="5"/>
      <c r="D69" s="5"/>
      <c r="E69" s="196"/>
      <c r="F69" s="196"/>
    </row>
    <row r="70" spans="1:6" ht="19.5" customHeight="1">
      <c r="A70" s="41" t="s">
        <v>90</v>
      </c>
      <c r="B70" s="41"/>
      <c r="C70" s="196"/>
      <c r="D70" s="196"/>
      <c r="E70" s="196"/>
      <c r="F70" s="196"/>
    </row>
    <row r="71" spans="1:6" ht="15">
      <c r="A71" s="5"/>
      <c r="B71" s="5"/>
      <c r="C71" s="5"/>
      <c r="D71" s="5"/>
      <c r="E71" s="196"/>
      <c r="F71" s="196"/>
    </row>
    <row r="72" spans="1:6" ht="15" customHeight="1" hidden="1">
      <c r="A72" s="54"/>
      <c r="B72" s="54"/>
      <c r="C72" s="196"/>
      <c r="D72" s="196"/>
      <c r="E72" s="196"/>
      <c r="F72" s="196"/>
    </row>
    <row r="73" spans="1:6" ht="15.75" customHeight="1" hidden="1" thickBot="1">
      <c r="A73" s="54"/>
      <c r="B73" s="54"/>
      <c r="C73" s="293" t="s">
        <v>91</v>
      </c>
      <c r="D73" s="293"/>
      <c r="E73" s="293"/>
      <c r="F73" s="293"/>
    </row>
    <row r="74" spans="1:6" ht="15.75" customHeight="1" hidden="1" thickBot="1">
      <c r="A74" s="293" t="s">
        <v>92</v>
      </c>
      <c r="B74" s="54"/>
      <c r="C74" s="293" t="s">
        <v>93</v>
      </c>
      <c r="D74" s="294">
        <v>2</v>
      </c>
      <c r="E74" s="294">
        <v>3</v>
      </c>
      <c r="F74" s="294">
        <v>4</v>
      </c>
    </row>
    <row r="75" spans="1:6" ht="15" customHeight="1" hidden="1">
      <c r="A75" s="54">
        <v>1</v>
      </c>
      <c r="B75" s="54"/>
      <c r="C75" s="196" t="s">
        <v>94</v>
      </c>
      <c r="D75" s="55" t="s">
        <v>95</v>
      </c>
      <c r="E75" s="196" t="s">
        <v>96</v>
      </c>
      <c r="F75" s="196" t="s">
        <v>97</v>
      </c>
    </row>
    <row r="76" spans="1:6" ht="15" customHeight="1" hidden="1">
      <c r="A76" s="54">
        <v>2</v>
      </c>
      <c r="B76" s="54"/>
      <c r="C76" s="196" t="s">
        <v>98</v>
      </c>
      <c r="D76" s="55" t="s">
        <v>95</v>
      </c>
      <c r="E76" s="196" t="s">
        <v>96</v>
      </c>
      <c r="F76" s="196" t="s">
        <v>97</v>
      </c>
    </row>
    <row r="77" spans="1:6" ht="15" customHeight="1" hidden="1">
      <c r="A77" s="54">
        <v>3</v>
      </c>
      <c r="B77" s="54"/>
      <c r="C77" s="196" t="s">
        <v>99</v>
      </c>
      <c r="D77" s="55" t="s">
        <v>95</v>
      </c>
      <c r="E77" s="196" t="s">
        <v>100</v>
      </c>
      <c r="F77" s="196" t="s">
        <v>97</v>
      </c>
    </row>
    <row r="78" spans="1:6" ht="15" customHeight="1" hidden="1">
      <c r="A78" s="54">
        <v>4</v>
      </c>
      <c r="B78" s="54"/>
      <c r="C78" s="196" t="s">
        <v>101</v>
      </c>
      <c r="D78" s="55" t="s">
        <v>95</v>
      </c>
      <c r="E78" s="196" t="s">
        <v>96</v>
      </c>
      <c r="F78" s="196" t="s">
        <v>97</v>
      </c>
    </row>
    <row r="79" spans="1:6" ht="15" customHeight="1" hidden="1">
      <c r="A79" s="54">
        <v>5</v>
      </c>
      <c r="B79" s="54"/>
      <c r="C79" s="196" t="s">
        <v>102</v>
      </c>
      <c r="D79" s="55" t="s">
        <v>95</v>
      </c>
      <c r="E79" s="196" t="s">
        <v>100</v>
      </c>
      <c r="F79" s="196" t="s">
        <v>97</v>
      </c>
    </row>
    <row r="80" spans="1:6" ht="15" customHeight="1" hidden="1">
      <c r="A80" s="54">
        <v>6</v>
      </c>
      <c r="B80" s="54"/>
      <c r="C80" s="196" t="s">
        <v>80</v>
      </c>
      <c r="D80" s="55" t="s">
        <v>95</v>
      </c>
      <c r="E80" s="196" t="s">
        <v>100</v>
      </c>
      <c r="F80" s="196" t="s">
        <v>97</v>
      </c>
    </row>
    <row r="81" spans="1:6" ht="15" customHeight="1" hidden="1">
      <c r="A81" s="54">
        <v>7</v>
      </c>
      <c r="B81" s="54"/>
      <c r="C81" s="196" t="s">
        <v>103</v>
      </c>
      <c r="D81" s="55" t="s">
        <v>104</v>
      </c>
      <c r="E81" s="196" t="s">
        <v>105</v>
      </c>
      <c r="F81" s="196" t="s">
        <v>106</v>
      </c>
    </row>
    <row r="82" spans="1:6" ht="15" customHeight="1" hidden="1">
      <c r="A82" s="54">
        <v>8</v>
      </c>
      <c r="B82" s="54"/>
      <c r="C82" s="196" t="s">
        <v>107</v>
      </c>
      <c r="D82" s="55" t="s">
        <v>95</v>
      </c>
      <c r="E82" s="196" t="s">
        <v>100</v>
      </c>
      <c r="F82" s="196" t="s">
        <v>97</v>
      </c>
    </row>
    <row r="83" spans="1:6" ht="15" customHeight="1" hidden="1">
      <c r="A83" s="54">
        <v>9</v>
      </c>
      <c r="B83" s="54"/>
      <c r="C83" s="196" t="s">
        <v>108</v>
      </c>
      <c r="D83" s="55" t="s">
        <v>95</v>
      </c>
      <c r="E83" s="196" t="s">
        <v>100</v>
      </c>
      <c r="F83" s="196" t="s">
        <v>97</v>
      </c>
    </row>
    <row r="84" spans="1:6" ht="15" customHeight="1" hidden="1">
      <c r="A84" s="54">
        <v>10</v>
      </c>
      <c r="B84" s="54"/>
      <c r="C84" s="196" t="s">
        <v>109</v>
      </c>
      <c r="D84" s="55" t="s">
        <v>95</v>
      </c>
      <c r="E84" s="196" t="s">
        <v>100</v>
      </c>
      <c r="F84" s="196" t="s">
        <v>97</v>
      </c>
    </row>
    <row r="85" spans="1:6" ht="15" customHeight="1" hidden="1">
      <c r="A85" s="54">
        <v>11</v>
      </c>
      <c r="B85" s="54"/>
      <c r="C85" s="196"/>
      <c r="D85" s="196"/>
      <c r="E85" s="196"/>
      <c r="F85" s="196"/>
    </row>
    <row r="86" spans="1:6" ht="15" customHeight="1" hidden="1">
      <c r="A86" s="54">
        <v>12</v>
      </c>
      <c r="B86" s="54"/>
      <c r="C86" s="196"/>
      <c r="D86" s="196"/>
      <c r="E86" s="196"/>
      <c r="F86" s="196"/>
    </row>
    <row r="87" spans="1:6" ht="15" customHeight="1" hidden="1">
      <c r="A87" s="54">
        <v>13</v>
      </c>
      <c r="B87" s="54"/>
      <c r="C87" s="196"/>
      <c r="D87" s="196"/>
      <c r="E87" s="196"/>
      <c r="F87" s="196"/>
    </row>
    <row r="88" spans="1:6" ht="15" customHeight="1" hidden="1">
      <c r="A88" s="54">
        <v>14</v>
      </c>
      <c r="B88" s="54"/>
      <c r="C88" s="196"/>
      <c r="D88" s="196"/>
      <c r="E88" s="196"/>
      <c r="F88" s="196"/>
    </row>
    <row r="89" spans="1:6" ht="15" customHeight="1" hidden="1">
      <c r="A89" s="54">
        <v>15</v>
      </c>
      <c r="B89" s="54"/>
      <c r="C89" s="196"/>
      <c r="D89" s="196"/>
      <c r="E89" s="196"/>
      <c r="F89" s="196"/>
    </row>
    <row r="90" spans="1:6" ht="15" customHeight="1" hidden="1">
      <c r="A90" s="54">
        <v>16</v>
      </c>
      <c r="B90" s="54"/>
      <c r="C90" s="196"/>
      <c r="D90" s="196"/>
      <c r="E90" s="196"/>
      <c r="F90" s="196"/>
    </row>
    <row r="91" spans="1:6" ht="15" customHeight="1" hidden="1">
      <c r="A91" s="54">
        <v>17</v>
      </c>
      <c r="B91" s="54"/>
      <c r="C91" s="196"/>
      <c r="D91" s="196"/>
      <c r="E91" s="196"/>
      <c r="F91" s="196"/>
    </row>
    <row r="92" spans="1:6" ht="15" customHeight="1" hidden="1">
      <c r="A92" s="54">
        <v>18</v>
      </c>
      <c r="B92" s="54"/>
      <c r="C92" s="196"/>
      <c r="D92" s="196"/>
      <c r="E92" s="196"/>
      <c r="F92" s="196"/>
    </row>
    <row r="93" spans="1:6" ht="15" customHeight="1" hidden="1">
      <c r="A93" s="54">
        <v>19</v>
      </c>
      <c r="B93" s="54"/>
      <c r="C93" s="196"/>
      <c r="D93" s="196"/>
      <c r="E93" s="196"/>
      <c r="F93" s="196"/>
    </row>
    <row r="94" spans="1:6" ht="15" customHeight="1" hidden="1">
      <c r="A94" s="54">
        <v>20</v>
      </c>
      <c r="B94" s="54"/>
      <c r="C94" s="196"/>
      <c r="D94" s="196"/>
      <c r="E94" s="196"/>
      <c r="F94" s="196"/>
    </row>
    <row r="95" spans="1:6" ht="15" customHeight="1" hidden="1">
      <c r="A95" s="54">
        <v>21</v>
      </c>
      <c r="B95" s="54"/>
      <c r="C95" s="196"/>
      <c r="D95" s="196"/>
      <c r="E95" s="196"/>
      <c r="F95" s="196"/>
    </row>
    <row r="96" spans="1:6" ht="15" customHeight="1" hidden="1">
      <c r="A96" s="54">
        <v>22</v>
      </c>
      <c r="B96" s="54"/>
      <c r="C96" s="196"/>
      <c r="D96" s="196"/>
      <c r="E96" s="196"/>
      <c r="F96" s="196"/>
    </row>
    <row r="97" spans="1:6" ht="15" customHeight="1" hidden="1">
      <c r="A97" s="54">
        <v>23</v>
      </c>
      <c r="B97" s="54"/>
      <c r="C97" s="196"/>
      <c r="D97" s="196"/>
      <c r="E97" s="196"/>
      <c r="F97" s="196"/>
    </row>
    <row r="98" spans="1:6" ht="15" customHeight="1" hidden="1">
      <c r="A98" s="54">
        <v>24</v>
      </c>
      <c r="B98" s="54"/>
      <c r="C98" s="196"/>
      <c r="D98" s="196"/>
      <c r="E98" s="196"/>
      <c r="F98" s="196"/>
    </row>
    <row r="99" spans="1:6" ht="15" customHeight="1" hidden="1">
      <c r="A99" s="54">
        <v>25</v>
      </c>
      <c r="B99" s="54"/>
      <c r="C99" s="196"/>
      <c r="D99" s="196"/>
      <c r="E99" s="196"/>
      <c r="F99" s="196"/>
    </row>
    <row r="100" spans="1:6" ht="15" customHeight="1" hidden="1">
      <c r="A100" s="54">
        <v>26</v>
      </c>
      <c r="B100" s="54"/>
      <c r="C100" s="196"/>
      <c r="D100" s="196"/>
      <c r="E100" s="196"/>
      <c r="F100" s="196"/>
    </row>
    <row r="101" spans="1:6" ht="15" customHeight="1" hidden="1">
      <c r="A101" s="54">
        <v>27</v>
      </c>
      <c r="B101" s="54"/>
      <c r="C101" s="196"/>
      <c r="D101" s="196"/>
      <c r="E101" s="196"/>
      <c r="F101" s="196"/>
    </row>
    <row r="102" spans="1:6" ht="15" customHeight="1" hidden="1">
      <c r="A102" s="54">
        <v>28</v>
      </c>
      <c r="B102" s="54"/>
      <c r="C102" s="196"/>
      <c r="D102" s="196"/>
      <c r="E102" s="196"/>
      <c r="F102" s="196"/>
    </row>
    <row r="103" spans="1:6" ht="15" customHeight="1" hidden="1">
      <c r="A103" s="54">
        <v>29</v>
      </c>
      <c r="B103" s="54"/>
      <c r="C103" s="196"/>
      <c r="D103" s="196"/>
      <c r="E103" s="196"/>
      <c r="F103" s="196"/>
    </row>
    <row r="104" spans="1:6" ht="15" customHeight="1" hidden="1">
      <c r="A104" s="54">
        <v>30</v>
      </c>
      <c r="B104" s="54"/>
      <c r="C104" s="196"/>
      <c r="D104" s="196"/>
      <c r="E104" s="196"/>
      <c r="F104" s="196"/>
    </row>
    <row r="105" spans="1:6" ht="15" customHeight="1" hidden="1">
      <c r="A105" s="54">
        <v>31</v>
      </c>
      <c r="B105" s="54"/>
      <c r="C105" s="196"/>
      <c r="D105" s="196"/>
      <c r="E105" s="196"/>
      <c r="F105" s="196"/>
    </row>
    <row r="106" spans="1:6" ht="15" customHeight="1" hidden="1">
      <c r="A106" s="54">
        <v>32</v>
      </c>
      <c r="B106" s="54"/>
      <c r="C106" s="196"/>
      <c r="D106" s="196"/>
      <c r="E106" s="196"/>
      <c r="F106" s="196"/>
    </row>
    <row r="107" spans="1:6" ht="15" customHeight="1" hidden="1">
      <c r="A107" s="54">
        <v>33</v>
      </c>
      <c r="B107" s="54"/>
      <c r="C107" s="196"/>
      <c r="D107" s="196"/>
      <c r="E107" s="196"/>
      <c r="F107" s="196"/>
    </row>
    <row r="108" spans="1:6" ht="15" customHeight="1" hidden="1">
      <c r="A108" s="54">
        <v>34</v>
      </c>
      <c r="B108" s="54"/>
      <c r="C108" s="196"/>
      <c r="D108" s="196"/>
      <c r="E108" s="196"/>
      <c r="F108" s="196"/>
    </row>
    <row r="109" spans="1:6" ht="15" customHeight="1" hidden="1">
      <c r="A109" s="54">
        <v>35</v>
      </c>
      <c r="B109" s="54"/>
      <c r="C109" s="196"/>
      <c r="D109" s="196"/>
      <c r="E109" s="196"/>
      <c r="F109" s="196"/>
    </row>
    <row r="110" spans="1:6" ht="15" customHeight="1" hidden="1">
      <c r="A110" s="54">
        <v>36</v>
      </c>
      <c r="B110" s="54"/>
      <c r="C110" s="196"/>
      <c r="D110" s="196"/>
      <c r="E110" s="196"/>
      <c r="F110" s="196"/>
    </row>
    <row r="111" spans="1:6" ht="15" customHeight="1" hidden="1">
      <c r="A111" s="54">
        <v>37</v>
      </c>
      <c r="B111" s="54"/>
      <c r="C111" s="196"/>
      <c r="D111" s="196"/>
      <c r="E111" s="196"/>
      <c r="F111" s="196"/>
    </row>
    <row r="112" spans="1:6" ht="15" customHeight="1" hidden="1">
      <c r="A112" s="54">
        <v>38</v>
      </c>
      <c r="B112" s="54"/>
      <c r="C112" s="196"/>
      <c r="D112" s="196"/>
      <c r="E112" s="196"/>
      <c r="F112" s="196"/>
    </row>
    <row r="113" spans="1:6" ht="15" customHeight="1" hidden="1">
      <c r="A113" s="54">
        <v>39</v>
      </c>
      <c r="B113" s="54"/>
      <c r="C113" s="196"/>
      <c r="D113" s="196"/>
      <c r="E113" s="196"/>
      <c r="F113" s="196"/>
    </row>
    <row r="114" spans="1:6" ht="15" customHeight="1" hidden="1">
      <c r="A114" s="54">
        <v>40</v>
      </c>
      <c r="B114" s="54"/>
      <c r="C114" s="196"/>
      <c r="D114" s="196"/>
      <c r="E114" s="196"/>
      <c r="F114" s="196"/>
    </row>
    <row r="115" spans="1:6" ht="15" customHeight="1" hidden="1">
      <c r="A115" s="54">
        <v>41</v>
      </c>
      <c r="B115" s="54"/>
      <c r="C115" s="196"/>
      <c r="D115" s="196"/>
      <c r="E115" s="196"/>
      <c r="F115" s="196"/>
    </row>
    <row r="116" spans="1:6" ht="15" customHeight="1" hidden="1">
      <c r="A116" s="54">
        <v>42</v>
      </c>
      <c r="B116" s="54"/>
      <c r="C116" s="196"/>
      <c r="D116" s="196"/>
      <c r="E116" s="196"/>
      <c r="F116" s="196"/>
    </row>
    <row r="117" spans="1:6" ht="15" customHeight="1" hidden="1">
      <c r="A117" s="54">
        <v>43</v>
      </c>
      <c r="B117" s="54"/>
      <c r="C117" s="196"/>
      <c r="D117" s="196"/>
      <c r="E117" s="196"/>
      <c r="F117" s="196"/>
    </row>
    <row r="118" spans="1:6" ht="15" customHeight="1" hidden="1">
      <c r="A118" s="54">
        <v>44</v>
      </c>
      <c r="B118" s="54"/>
      <c r="C118" s="196"/>
      <c r="D118" s="196"/>
      <c r="E118" s="196"/>
      <c r="F118" s="196"/>
    </row>
    <row r="119" spans="1:6" ht="15" customHeight="1" hidden="1">
      <c r="A119" s="54">
        <v>45</v>
      </c>
      <c r="B119" s="54"/>
      <c r="C119" s="196"/>
      <c r="D119" s="196"/>
      <c r="E119" s="196"/>
      <c r="F119" s="196"/>
    </row>
    <row r="120" spans="1:6" ht="15" customHeight="1" hidden="1">
      <c r="A120" s="54">
        <v>46</v>
      </c>
      <c r="B120" s="54"/>
      <c r="C120" s="196"/>
      <c r="D120" s="196"/>
      <c r="E120" s="196"/>
      <c r="F120" s="196"/>
    </row>
    <row r="121" spans="1:6" ht="15" customHeight="1" hidden="1">
      <c r="A121" s="54">
        <v>47</v>
      </c>
      <c r="B121" s="54"/>
      <c r="C121" s="196"/>
      <c r="D121" s="196"/>
      <c r="E121" s="196"/>
      <c r="F121" s="196"/>
    </row>
    <row r="122" spans="1:6" ht="15" customHeight="1" hidden="1">
      <c r="A122" s="54">
        <v>48</v>
      </c>
      <c r="B122" s="54"/>
      <c r="C122" s="196"/>
      <c r="D122" s="196"/>
      <c r="E122" s="196"/>
      <c r="F122" s="196"/>
    </row>
    <row r="123" spans="1:6" ht="15" customHeight="1" hidden="1">
      <c r="A123" s="54">
        <v>49</v>
      </c>
      <c r="B123" s="54"/>
      <c r="C123" s="196"/>
      <c r="D123" s="196"/>
      <c r="E123" s="196"/>
      <c r="F123" s="196"/>
    </row>
    <row r="124" spans="1:6" ht="15" customHeight="1" hidden="1">
      <c r="A124" s="54">
        <v>50</v>
      </c>
      <c r="B124" s="54"/>
      <c r="C124" s="196"/>
      <c r="D124" s="196"/>
      <c r="E124" s="196"/>
      <c r="F124" s="196"/>
    </row>
  </sheetData>
  <sheetProtection sheet="1" objects="1" scenarios="1"/>
  <mergeCells count="5">
    <mergeCell ref="B4:C4"/>
    <mergeCell ref="B6:C6"/>
    <mergeCell ref="B8:C8"/>
    <mergeCell ref="B22:C22"/>
    <mergeCell ref="B33:C33"/>
  </mergeCells>
  <dataValidations count="1">
    <dataValidation type="list" allowBlank="1" showInputMessage="1" showErrorMessage="1" sqref="B4">
      <formula1>Betrieb</formula1>
    </dataValidation>
  </dataValidations>
  <printOptions/>
  <pageMargins left="0.7086614173228347" right="0.5905511811023623" top="1.1811023622047245" bottom="0.7086614173228347" header="0.4724409448818898" footer="0"/>
  <pageSetup blackAndWhite="1" fitToHeight="2" horizontalDpi="600" verticalDpi="600" orientation="portrait" paperSize="9" r:id="rId3"/>
  <headerFooter>
    <oddHeader>&amp;L&amp;G</oddHeader>
    <oddFooter>&amp;L&amp;"Arial Black,Standard"&amp;8AB - &amp;A
I-Net: http://wh.twoday.net, E-Mail: wrw3afsh@aol.at</oddFooter>
  </headerFooter>
  <rowBreaks count="1" manualBreakCount="1">
    <brk id="32" min="1" max="2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Meine Gemeinde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Schule</dc:creator>
  <cp:keywords/>
  <dc:description/>
  <cp:lastModifiedBy>Windows-Benutzer</cp:lastModifiedBy>
  <cp:lastPrinted>2014-01-20T16:24:07Z</cp:lastPrinted>
  <dcterms:created xsi:type="dcterms:W3CDTF">2014-01-20T08:30:58Z</dcterms:created>
  <dcterms:modified xsi:type="dcterms:W3CDTF">2014-01-20T16:28:34Z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